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Ecademy/Cours en ligne - Accounting 4 Business/Accounting for Business EN/Accounting for Business - Module 5/"/>
    </mc:Choice>
  </mc:AlternateContent>
  <xr:revisionPtr revIDLastSave="0" documentId="13_ncr:1_{FBBA4536-64E2-1B4B-85BD-9A4A865C504E}" xr6:coauthVersionLast="47" xr6:coauthVersionMax="47" xr10:uidLastSave="{00000000-0000-0000-0000-000000000000}"/>
  <bookViews>
    <workbookView xWindow="0" yWindow="700" windowWidth="27040" windowHeight="16160" activeTab="1" xr2:uid="{0C09B901-5D22-2D40-AB49-94D1754DDEC5}"/>
  </bookViews>
  <sheets>
    <sheet name="Parameters" sheetId="3" r:id="rId1"/>
    <sheet name="August-1" sheetId="1" r:id="rId2"/>
    <sheet name="September-1" sheetId="2" r:id="rId3"/>
    <sheet name="October-1" sheetId="5" r:id="rId4"/>
    <sheet name="November-1" sheetId="6" r:id="rId5"/>
    <sheet name="December-1" sheetId="7" r:id="rId6"/>
    <sheet name="Financial analysis - year 1" sheetId="11" r:id="rId7"/>
    <sheet name="January-2" sheetId="8" r:id="rId8"/>
    <sheet name="Financial analysis January-2" sheetId="12" r:id="rId9"/>
    <sheet name="February-2" sheetId="9" r:id="rId10"/>
    <sheet name="Financial analysis February-2" sheetId="13" r:id="rId11"/>
    <sheet name="March frame" sheetId="16" r:id="rId12"/>
    <sheet name="March-2" sheetId="10" r:id="rId13"/>
    <sheet name="Financial analysis March-2" sheetId="15" r:id="rId14"/>
    <sheet name="Investment project Q2" sheetId="17" r:id="rId15"/>
    <sheet name="April-2" sheetId="18" r:id="rId16"/>
    <sheet name="Financial analysis April-2" sheetId="19" r:id="rId17"/>
    <sheet name="May-2" sheetId="20" r:id="rId18"/>
    <sheet name="Financial analysis May-2" sheetId="21" r:id="rId19"/>
    <sheet name="June-2" sheetId="22" r:id="rId20"/>
    <sheet name="Financial analysis June-2" sheetId="23" r:id="rId21"/>
    <sheet name="Development plan Q3" sheetId="26" r:id="rId22"/>
    <sheet name="July-2" sheetId="24" r:id="rId23"/>
    <sheet name="Financial analysis July-1" sheetId="25" r:id="rId24"/>
    <sheet name="August-2" sheetId="27" r:id="rId25"/>
    <sheet name="Financial analysis August-2" sheetId="28" r:id="rId26"/>
    <sheet name="September-2" sheetId="29" r:id="rId27"/>
    <sheet name="Financial analysis September-2" sheetId="30" r:id="rId28"/>
    <sheet name="Development plan Q4" sheetId="31" r:id="rId29"/>
    <sheet name="October-2" sheetId="32" r:id="rId30"/>
    <sheet name="Financial analysis October-2" sheetId="33" r:id="rId31"/>
    <sheet name="November-2" sheetId="35" r:id="rId32"/>
    <sheet name="Financial analysis November - 2" sheetId="36" r:id="rId33"/>
    <sheet name="December-2" sheetId="37" r:id="rId34"/>
    <sheet name="Financial analysis December-2" sheetId="38" r:id="rId35"/>
  </sheets>
  <definedNames>
    <definedName name="ADOP">Parameters!$B$24</definedName>
    <definedName name="CMP">'Investment project Q2'!$C$22</definedName>
    <definedName name="ING">Parameters!$B$22</definedName>
    <definedName name="MAN">Parameters!$B$18</definedName>
    <definedName name="MKT">Parameters!$B$20</definedName>
    <definedName name="NA">Parameters!$B$14</definedName>
    <definedName name="PAP">Parameters!$B$10</definedName>
    <definedName name="PAR">Parameters!$B$16</definedName>
    <definedName name="PVB2B">Parameters!$B$8</definedName>
    <definedName name="PVB2C">Parameters!$B$6</definedName>
    <definedName name="TIS">Parameters!$B$12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0" l="1"/>
  <c r="G89" i="30" s="1"/>
  <c r="F47" i="30"/>
  <c r="F89" i="30" s="1"/>
  <c r="D47" i="30"/>
  <c r="D89" i="30" s="1"/>
  <c r="E47" i="30"/>
  <c r="E89" i="30" s="1"/>
  <c r="C47" i="30"/>
  <c r="C89" i="30" s="1"/>
  <c r="D47" i="25"/>
  <c r="D89" i="25" s="1"/>
  <c r="E47" i="25"/>
  <c r="F47" i="25"/>
  <c r="G47" i="25"/>
  <c r="H47" i="25"/>
  <c r="I47" i="25"/>
  <c r="I89" i="25" s="1"/>
  <c r="J47" i="25"/>
  <c r="J89" i="25" s="1"/>
  <c r="K47" i="25"/>
  <c r="K89" i="25" s="1"/>
  <c r="L47" i="25"/>
  <c r="M47" i="25"/>
  <c r="M89" i="25" s="1"/>
  <c r="C47" i="25"/>
  <c r="C89" i="25" s="1"/>
  <c r="E89" i="25"/>
  <c r="F89" i="25"/>
  <c r="G89" i="25"/>
  <c r="H89" i="25"/>
  <c r="L89" i="25"/>
  <c r="H89" i="28"/>
  <c r="I89" i="28"/>
  <c r="J89" i="28"/>
  <c r="D47" i="28"/>
  <c r="D89" i="28" s="1"/>
  <c r="E47" i="28"/>
  <c r="E89" i="28" s="1"/>
  <c r="F47" i="28"/>
  <c r="F89" i="28" s="1"/>
  <c r="G47" i="28"/>
  <c r="G89" i="28" s="1"/>
  <c r="H47" i="28"/>
  <c r="I47" i="28"/>
  <c r="J47" i="28"/>
  <c r="K47" i="28"/>
  <c r="K89" i="28" s="1"/>
  <c r="L47" i="28"/>
  <c r="L89" i="28" s="1"/>
  <c r="M47" i="28"/>
  <c r="M89" i="28" s="1"/>
  <c r="N47" i="28"/>
  <c r="N89" i="28" s="1"/>
  <c r="C47" i="28"/>
  <c r="C89" i="28" s="1"/>
  <c r="C203" i="38" l="1"/>
  <c r="C153" i="30"/>
  <c r="C153" i="28"/>
  <c r="C53" i="16" l="1"/>
  <c r="D19" i="16" s="1"/>
  <c r="D10" i="16"/>
  <c r="E15" i="7" l="1"/>
  <c r="C51" i="7"/>
  <c r="R48" i="38" l="1"/>
  <c r="Q48" i="38"/>
  <c r="P48" i="38"/>
  <c r="O48" i="38"/>
  <c r="N48" i="38"/>
  <c r="M48" i="38"/>
  <c r="L48" i="38"/>
  <c r="K48" i="38"/>
  <c r="J48" i="38"/>
  <c r="I48" i="38"/>
  <c r="H48" i="38"/>
  <c r="G48" i="38"/>
  <c r="F48" i="38"/>
  <c r="E48" i="38"/>
  <c r="D48" i="38"/>
  <c r="C48" i="38"/>
  <c r="R94" i="38"/>
  <c r="E184" i="38" s="1"/>
  <c r="E214" i="38" s="1"/>
  <c r="Q94" i="38"/>
  <c r="D184" i="38" s="1"/>
  <c r="D214" i="38" s="1"/>
  <c r="P94" i="38"/>
  <c r="C184" i="38" s="1"/>
  <c r="C214" i="38" s="1"/>
  <c r="O94" i="38"/>
  <c r="N94" i="38"/>
  <c r="M94" i="38"/>
  <c r="L94" i="38"/>
  <c r="K94" i="38"/>
  <c r="J94" i="38"/>
  <c r="I94" i="38"/>
  <c r="H94" i="38"/>
  <c r="G94" i="38"/>
  <c r="F94" i="38"/>
  <c r="E94" i="38"/>
  <c r="D94" i="38"/>
  <c r="C94" i="38"/>
  <c r="R139" i="38"/>
  <c r="Q139" i="38"/>
  <c r="P139" i="38"/>
  <c r="O139" i="38"/>
  <c r="N139" i="38"/>
  <c r="M139" i="38"/>
  <c r="L139" i="38"/>
  <c r="K139" i="38"/>
  <c r="J139" i="38"/>
  <c r="I139" i="38"/>
  <c r="H139" i="38"/>
  <c r="G139" i="38"/>
  <c r="F139" i="38"/>
  <c r="E139" i="38"/>
  <c r="D139" i="38"/>
  <c r="C139" i="38"/>
  <c r="R163" i="38"/>
  <c r="Q163" i="38"/>
  <c r="P163" i="38"/>
  <c r="O163" i="38"/>
  <c r="N163" i="38"/>
  <c r="M163" i="38"/>
  <c r="L163" i="38"/>
  <c r="K163" i="38"/>
  <c r="J163" i="38"/>
  <c r="I163" i="38"/>
  <c r="H163" i="38"/>
  <c r="G163" i="38"/>
  <c r="F163" i="38"/>
  <c r="E163" i="38"/>
  <c r="D163" i="38"/>
  <c r="C163" i="38"/>
  <c r="P145" i="38"/>
  <c r="C18" i="37" l="1"/>
  <c r="J24" i="37"/>
  <c r="J26" i="37" s="1"/>
  <c r="F24" i="37"/>
  <c r="C104" i="38"/>
  <c r="C145" i="37"/>
  <c r="C143" i="37"/>
  <c r="C142" i="37"/>
  <c r="C98" i="37"/>
  <c r="R142" i="38" s="1"/>
  <c r="E136" i="37" s="1"/>
  <c r="C83" i="37"/>
  <c r="C33" i="37"/>
  <c r="C59" i="37" s="1"/>
  <c r="L24" i="37"/>
  <c r="H24" i="37"/>
  <c r="D18" i="37"/>
  <c r="K11" i="37"/>
  <c r="C63" i="37" s="1"/>
  <c r="D17" i="37"/>
  <c r="D14" i="37"/>
  <c r="D12" i="37"/>
  <c r="K10" i="37"/>
  <c r="C62" i="37" s="1"/>
  <c r="D10" i="37"/>
  <c r="C10" i="37"/>
  <c r="C31" i="37" s="1"/>
  <c r="C58" i="37" s="1"/>
  <c r="D8" i="37"/>
  <c r="C8" i="37"/>
  <c r="C30" i="37" s="1"/>
  <c r="D6" i="37"/>
  <c r="K6" i="37"/>
  <c r="C146" i="29"/>
  <c r="C142" i="35"/>
  <c r="Q91" i="36"/>
  <c r="E136" i="36" s="1"/>
  <c r="Q48" i="36"/>
  <c r="C144" i="35"/>
  <c r="C141" i="35"/>
  <c r="J24" i="35"/>
  <c r="J26" i="35" s="1"/>
  <c r="F24" i="35"/>
  <c r="F26" i="35" s="1"/>
  <c r="C101" i="36"/>
  <c r="D136" i="36"/>
  <c r="C136" i="36"/>
  <c r="C98" i="35"/>
  <c r="Q142" i="38" s="1"/>
  <c r="C83" i="35"/>
  <c r="C33" i="35"/>
  <c r="Q17" i="36" s="1"/>
  <c r="L24" i="35"/>
  <c r="H24" i="35"/>
  <c r="D18" i="35"/>
  <c r="C18" i="35"/>
  <c r="K11" i="35" s="1"/>
  <c r="C63" i="35" s="1"/>
  <c r="D17" i="35"/>
  <c r="D14" i="35"/>
  <c r="D12" i="35"/>
  <c r="K10" i="35"/>
  <c r="C62" i="35" s="1"/>
  <c r="D10" i="35"/>
  <c r="C10" i="35"/>
  <c r="C31" i="35" s="1"/>
  <c r="C58" i="35" s="1"/>
  <c r="D8" i="35"/>
  <c r="C8" i="35"/>
  <c r="C30" i="35" s="1"/>
  <c r="D6" i="35"/>
  <c r="D18" i="32"/>
  <c r="D17" i="32"/>
  <c r="D14" i="32"/>
  <c r="D12" i="32"/>
  <c r="D10" i="32"/>
  <c r="D8" i="32"/>
  <c r="D6" i="32"/>
  <c r="C19" i="31"/>
  <c r="C18" i="31"/>
  <c r="C10" i="32"/>
  <c r="C31" i="32" s="1"/>
  <c r="P15" i="36" s="1"/>
  <c r="C8" i="32"/>
  <c r="C30" i="32" s="1"/>
  <c r="P14" i="36" s="1"/>
  <c r="F44" i="31"/>
  <c r="F43" i="31"/>
  <c r="F42" i="31"/>
  <c r="F41" i="31"/>
  <c r="C32" i="29"/>
  <c r="O15" i="36" s="1"/>
  <c r="C31" i="29"/>
  <c r="O14" i="36" s="1"/>
  <c r="L13" i="29"/>
  <c r="C13" i="29"/>
  <c r="C15" i="29"/>
  <c r="F20" i="31" s="1"/>
  <c r="G20" i="31" s="1"/>
  <c r="C18" i="29"/>
  <c r="F19" i="31" s="1"/>
  <c r="C17" i="27"/>
  <c r="K12" i="27" s="1"/>
  <c r="D19" i="29"/>
  <c r="D18" i="29"/>
  <c r="D15" i="29"/>
  <c r="D13" i="29"/>
  <c r="D11" i="29"/>
  <c r="D9" i="29"/>
  <c r="D7" i="29"/>
  <c r="K13" i="27"/>
  <c r="C31" i="27"/>
  <c r="N15" i="36" s="1"/>
  <c r="C30" i="27"/>
  <c r="C14" i="27"/>
  <c r="E20" i="31" s="1"/>
  <c r="E27" i="31" s="1"/>
  <c r="C12" i="27"/>
  <c r="E18" i="31" s="1"/>
  <c r="E25" i="31" s="1"/>
  <c r="C12" i="24"/>
  <c r="C32" i="24" s="1"/>
  <c r="M16" i="36" s="1"/>
  <c r="C17" i="24"/>
  <c r="K12" i="24" s="1"/>
  <c r="D18" i="27"/>
  <c r="D17" i="27"/>
  <c r="D14" i="27"/>
  <c r="D12" i="27"/>
  <c r="D10" i="27"/>
  <c r="D8" i="27"/>
  <c r="D6" i="27"/>
  <c r="K13" i="24"/>
  <c r="C14" i="24"/>
  <c r="C62" i="24" s="1"/>
  <c r="I27" i="26"/>
  <c r="H27" i="26"/>
  <c r="I26" i="26"/>
  <c r="H26" i="26"/>
  <c r="I25" i="26"/>
  <c r="H25" i="26"/>
  <c r="G27" i="26"/>
  <c r="G26" i="26"/>
  <c r="G25" i="26"/>
  <c r="F22" i="26"/>
  <c r="E22" i="26"/>
  <c r="C22" i="26"/>
  <c r="D22" i="26"/>
  <c r="C31" i="24"/>
  <c r="C30" i="24"/>
  <c r="M14" i="36" s="1"/>
  <c r="K12" i="22"/>
  <c r="K13" i="22"/>
  <c r="C82" i="24"/>
  <c r="D18" i="24"/>
  <c r="D17" i="24"/>
  <c r="D14" i="24"/>
  <c r="D12" i="24"/>
  <c r="D10" i="24"/>
  <c r="D8" i="24"/>
  <c r="D6" i="24"/>
  <c r="D32" i="22"/>
  <c r="L16" i="36" s="1"/>
  <c r="D31" i="22"/>
  <c r="L15" i="36" s="1"/>
  <c r="D30" i="22"/>
  <c r="L14" i="36" s="1"/>
  <c r="D18" i="22"/>
  <c r="D17" i="22"/>
  <c r="D14" i="22"/>
  <c r="D12" i="22"/>
  <c r="D10" i="22"/>
  <c r="D8" i="22"/>
  <c r="D6" i="22"/>
  <c r="C12" i="37" l="1"/>
  <c r="C58" i="29"/>
  <c r="C61" i="37"/>
  <c r="C24" i="37"/>
  <c r="C22" i="31"/>
  <c r="Q17" i="38"/>
  <c r="H49" i="37"/>
  <c r="R8" i="38"/>
  <c r="R51" i="38" s="1"/>
  <c r="F26" i="37"/>
  <c r="R17" i="38"/>
  <c r="C59" i="35"/>
  <c r="L49" i="37"/>
  <c r="C108" i="37" s="1"/>
  <c r="C12" i="32"/>
  <c r="C32" i="27"/>
  <c r="N16" i="36" s="1"/>
  <c r="D20" i="31"/>
  <c r="D27" i="31" s="1"/>
  <c r="D18" i="31"/>
  <c r="D25" i="31" s="1"/>
  <c r="D19" i="31"/>
  <c r="D26" i="31" s="1"/>
  <c r="E19" i="31"/>
  <c r="E26" i="31" s="1"/>
  <c r="L14" i="38"/>
  <c r="N15" i="38"/>
  <c r="M16" i="38"/>
  <c r="F26" i="31"/>
  <c r="G19" i="31"/>
  <c r="O14" i="38"/>
  <c r="L12" i="29"/>
  <c r="C12" i="35"/>
  <c r="C61" i="35" s="1"/>
  <c r="F18" i="31"/>
  <c r="O15" i="38"/>
  <c r="C57" i="37"/>
  <c r="R14" i="38"/>
  <c r="F27" i="31"/>
  <c r="H20" i="31"/>
  <c r="C14" i="32"/>
  <c r="G27" i="31"/>
  <c r="R15" i="38"/>
  <c r="L16" i="38"/>
  <c r="N14" i="36"/>
  <c r="N14" i="38"/>
  <c r="C57" i="35"/>
  <c r="Q14" i="38"/>
  <c r="M15" i="36"/>
  <c r="M15" i="38"/>
  <c r="M14" i="38"/>
  <c r="P15" i="38"/>
  <c r="Q15" i="36"/>
  <c r="Q15" i="38"/>
  <c r="P14" i="38"/>
  <c r="L15" i="38"/>
  <c r="L31" i="37"/>
  <c r="Q14" i="36"/>
  <c r="L30" i="37"/>
  <c r="C24" i="35"/>
  <c r="Q8" i="38" s="1"/>
  <c r="L30" i="35"/>
  <c r="L49" i="35"/>
  <c r="H22" i="26"/>
  <c r="I22" i="26"/>
  <c r="G22" i="26"/>
  <c r="D32" i="20"/>
  <c r="D31" i="20"/>
  <c r="D30" i="20"/>
  <c r="K13" i="20"/>
  <c r="K12" i="20"/>
  <c r="D18" i="20"/>
  <c r="D17" i="20"/>
  <c r="D14" i="20"/>
  <c r="D12" i="20"/>
  <c r="D10" i="20"/>
  <c r="D8" i="20"/>
  <c r="D6" i="20"/>
  <c r="K10" i="32"/>
  <c r="J24" i="18"/>
  <c r="F24" i="18"/>
  <c r="D32" i="18"/>
  <c r="D31" i="18"/>
  <c r="D30" i="18"/>
  <c r="K11" i="18"/>
  <c r="K10" i="18"/>
  <c r="D18" i="18"/>
  <c r="D17" i="18"/>
  <c r="D14" i="18"/>
  <c r="D12" i="18"/>
  <c r="D10" i="18"/>
  <c r="D8" i="18"/>
  <c r="D6" i="18"/>
  <c r="D35" i="17"/>
  <c r="D36" i="17"/>
  <c r="D37" i="17"/>
  <c r="D34" i="17"/>
  <c r="D32" i="17"/>
  <c r="D33" i="17"/>
  <c r="D31" i="17"/>
  <c r="F31" i="17"/>
  <c r="C21" i="17"/>
  <c r="D10" i="10"/>
  <c r="D12" i="10"/>
  <c r="D11" i="10"/>
  <c r="D12" i="16"/>
  <c r="D11" i="16"/>
  <c r="R57" i="38" l="1"/>
  <c r="C61" i="32"/>
  <c r="N16" i="38"/>
  <c r="R58" i="38"/>
  <c r="R151" i="38"/>
  <c r="E189" i="38" s="1"/>
  <c r="R99" i="38"/>
  <c r="C107" i="35"/>
  <c r="Q96" i="36" s="1"/>
  <c r="E141" i="36" s="1"/>
  <c r="H48" i="37"/>
  <c r="F25" i="31"/>
  <c r="G18" i="31"/>
  <c r="G25" i="31" s="1"/>
  <c r="H19" i="31"/>
  <c r="G26" i="31"/>
  <c r="H27" i="31"/>
  <c r="C60" i="35" s="1"/>
  <c r="C136" i="35" s="1"/>
  <c r="C14" i="35"/>
  <c r="I20" i="31"/>
  <c r="Q58" i="38"/>
  <c r="J15" i="36"/>
  <c r="J15" i="38"/>
  <c r="J16" i="36"/>
  <c r="J16" i="38"/>
  <c r="Q51" i="38"/>
  <c r="J14" i="36"/>
  <c r="J14" i="38"/>
  <c r="K16" i="36"/>
  <c r="K16" i="38"/>
  <c r="K15" i="36"/>
  <c r="K15" i="38"/>
  <c r="I15" i="36"/>
  <c r="I15" i="38"/>
  <c r="Q57" i="38"/>
  <c r="I16" i="36"/>
  <c r="I16" i="38"/>
  <c r="I14" i="36"/>
  <c r="I14" i="38"/>
  <c r="K14" i="36"/>
  <c r="K14" i="38"/>
  <c r="L32" i="37"/>
  <c r="H49" i="35"/>
  <c r="Q8" i="36"/>
  <c r="D22" i="31"/>
  <c r="D12" i="9"/>
  <c r="H16" i="38" s="1"/>
  <c r="D11" i="9"/>
  <c r="H15" i="38" s="1"/>
  <c r="D10" i="9"/>
  <c r="H14" i="38" s="1"/>
  <c r="D11" i="8"/>
  <c r="G15" i="38" s="1"/>
  <c r="D10" i="8"/>
  <c r="G14" i="38" s="1"/>
  <c r="D11" i="7"/>
  <c r="F15" i="38" s="1"/>
  <c r="D10" i="7"/>
  <c r="F14" i="38" s="1"/>
  <c r="D11" i="6"/>
  <c r="E15" i="38" s="1"/>
  <c r="D10" i="6"/>
  <c r="E14" i="38" s="1"/>
  <c r="D10" i="5"/>
  <c r="D10" i="2"/>
  <c r="E136" i="33"/>
  <c r="P48" i="33"/>
  <c r="C145" i="32"/>
  <c r="C66" i="32"/>
  <c r="C62" i="32"/>
  <c r="C18" i="32"/>
  <c r="C99" i="32"/>
  <c r="P142" i="38" s="1"/>
  <c r="C60" i="32"/>
  <c r="C137" i="32" s="1"/>
  <c r="C50" i="32"/>
  <c r="C33" i="32"/>
  <c r="J24" i="32"/>
  <c r="J26" i="32" s="1"/>
  <c r="F24" i="32"/>
  <c r="F26" i="32" s="1"/>
  <c r="C101" i="33"/>
  <c r="D136" i="33"/>
  <c r="C136" i="33"/>
  <c r="N16" i="33"/>
  <c r="M16" i="33"/>
  <c r="L16" i="33"/>
  <c r="K16" i="33"/>
  <c r="J16" i="33"/>
  <c r="I16" i="33"/>
  <c r="O15" i="33"/>
  <c r="N15" i="33"/>
  <c r="M15" i="33"/>
  <c r="L15" i="33"/>
  <c r="K15" i="33"/>
  <c r="J15" i="33"/>
  <c r="I15" i="33"/>
  <c r="O14" i="33"/>
  <c r="N14" i="33"/>
  <c r="M14" i="33"/>
  <c r="L14" i="33"/>
  <c r="K14" i="33"/>
  <c r="J14" i="33"/>
  <c r="I14" i="33"/>
  <c r="C84" i="32"/>
  <c r="L24" i="32"/>
  <c r="H24" i="32"/>
  <c r="E100" i="29"/>
  <c r="O166" i="38" s="1"/>
  <c r="F99" i="27"/>
  <c r="N166" i="38" s="1"/>
  <c r="E98" i="24"/>
  <c r="M166" i="38" s="1"/>
  <c r="E90" i="22"/>
  <c r="L166" i="38" s="1"/>
  <c r="E90" i="20"/>
  <c r="K166" i="38" s="1"/>
  <c r="E94" i="18"/>
  <c r="J166" i="38" s="1"/>
  <c r="E64" i="10"/>
  <c r="I166" i="38" s="1"/>
  <c r="E64" i="16"/>
  <c r="E64" i="9"/>
  <c r="H166" i="38" s="1"/>
  <c r="E72" i="8"/>
  <c r="G166" i="38" s="1"/>
  <c r="E64" i="7"/>
  <c r="F166" i="38" s="1"/>
  <c r="E51" i="6"/>
  <c r="E166" i="38" s="1"/>
  <c r="E40" i="5"/>
  <c r="D166" i="38" s="1"/>
  <c r="E38" i="2"/>
  <c r="C166" i="38" s="1"/>
  <c r="E6" i="1"/>
  <c r="C6" i="1" s="1"/>
  <c r="F54" i="31"/>
  <c r="F56" i="31" s="1"/>
  <c r="F58" i="31" s="1"/>
  <c r="C14" i="38" l="1"/>
  <c r="C14" i="25"/>
  <c r="Q57" i="36"/>
  <c r="Q60" i="36"/>
  <c r="P17" i="38"/>
  <c r="P17" i="36"/>
  <c r="Q99" i="38"/>
  <c r="Q151" i="38" s="1"/>
  <c r="D189" i="38" s="1"/>
  <c r="I19" i="31"/>
  <c r="I26" i="31" s="1"/>
  <c r="H26" i="31"/>
  <c r="I27" i="31"/>
  <c r="C14" i="37"/>
  <c r="D14" i="36"/>
  <c r="D14" i="38"/>
  <c r="Q58" i="36"/>
  <c r="Q51" i="36"/>
  <c r="E15" i="33"/>
  <c r="E15" i="36"/>
  <c r="E14" i="33"/>
  <c r="E14" i="36"/>
  <c r="F14" i="33"/>
  <c r="F14" i="36"/>
  <c r="C14" i="33"/>
  <c r="C14" i="36"/>
  <c r="H14" i="33"/>
  <c r="H14" i="36"/>
  <c r="G14" i="33"/>
  <c r="G14" i="36"/>
  <c r="H15" i="33"/>
  <c r="H15" i="36"/>
  <c r="H16" i="33"/>
  <c r="H16" i="36"/>
  <c r="D14" i="33"/>
  <c r="F15" i="33"/>
  <c r="F15" i="36"/>
  <c r="G15" i="33"/>
  <c r="G15" i="36"/>
  <c r="E22" i="31"/>
  <c r="P14" i="33"/>
  <c r="C58" i="32"/>
  <c r="P17" i="33"/>
  <c r="C59" i="32"/>
  <c r="K11" i="32"/>
  <c r="C63" i="32" s="1"/>
  <c r="L49" i="32"/>
  <c r="F60" i="31"/>
  <c r="L30" i="32"/>
  <c r="C24" i="32"/>
  <c r="P8" i="38" s="1"/>
  <c r="C52" i="31"/>
  <c r="C60" i="31"/>
  <c r="G36" i="31"/>
  <c r="L5" i="29"/>
  <c r="L7" i="29" s="1"/>
  <c r="L32" i="29" s="1"/>
  <c r="H30" i="32" s="1"/>
  <c r="H41" i="32" s="1"/>
  <c r="F12" i="31"/>
  <c r="E12" i="31"/>
  <c r="D12" i="31"/>
  <c r="C12" i="31"/>
  <c r="I12" i="31"/>
  <c r="K5" i="35" s="1"/>
  <c r="K6" i="35" s="1"/>
  <c r="H12" i="31"/>
  <c r="K5" i="32" s="1"/>
  <c r="K6" i="32" s="1"/>
  <c r="L31" i="32" s="1"/>
  <c r="H30" i="35" s="1"/>
  <c r="G12" i="31"/>
  <c r="C63" i="29"/>
  <c r="C140" i="29" s="1"/>
  <c r="I138" i="29" s="1"/>
  <c r="O15" i="30"/>
  <c r="O14" i="30"/>
  <c r="O89" i="30"/>
  <c r="E138" i="30" s="1"/>
  <c r="O47" i="30"/>
  <c r="J25" i="29"/>
  <c r="F25" i="29"/>
  <c r="F27" i="29" s="1"/>
  <c r="C99" i="30"/>
  <c r="N89" i="30"/>
  <c r="D138" i="30" s="1"/>
  <c r="M89" i="30"/>
  <c r="C138" i="30" s="1"/>
  <c r="L89" i="30"/>
  <c r="K89" i="30"/>
  <c r="J89" i="30"/>
  <c r="I89" i="30"/>
  <c r="H89" i="30"/>
  <c r="N47" i="30"/>
  <c r="M47" i="30"/>
  <c r="L47" i="30"/>
  <c r="K47" i="30"/>
  <c r="J47" i="30"/>
  <c r="I47" i="30"/>
  <c r="H47" i="30"/>
  <c r="N16" i="30"/>
  <c r="M16" i="30"/>
  <c r="L16" i="30"/>
  <c r="K16" i="30"/>
  <c r="J16" i="30"/>
  <c r="I16" i="30"/>
  <c r="H16" i="30"/>
  <c r="N15" i="30"/>
  <c r="M15" i="30"/>
  <c r="L15" i="30"/>
  <c r="K15" i="30"/>
  <c r="J15" i="30"/>
  <c r="I15" i="30"/>
  <c r="H15" i="30"/>
  <c r="G15" i="30"/>
  <c r="F15" i="30"/>
  <c r="E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C135" i="29"/>
  <c r="C100" i="29"/>
  <c r="O142" i="38" s="1"/>
  <c r="C85" i="29"/>
  <c r="C57" i="29"/>
  <c r="C56" i="29"/>
  <c r="C59" i="29"/>
  <c r="L25" i="29"/>
  <c r="H25" i="29"/>
  <c r="C74" i="17"/>
  <c r="C84" i="17" s="1"/>
  <c r="C63" i="27"/>
  <c r="C110" i="27"/>
  <c r="N16" i="28"/>
  <c r="N15" i="28"/>
  <c r="N14" i="28"/>
  <c r="D138" i="28"/>
  <c r="C62" i="27"/>
  <c r="K5" i="27"/>
  <c r="K7" i="27" s="1"/>
  <c r="L30" i="27" s="1"/>
  <c r="H31" i="29" s="1"/>
  <c r="H42" i="29" s="1"/>
  <c r="J24" i="27"/>
  <c r="F24" i="27"/>
  <c r="F26" i="27" s="1"/>
  <c r="C99" i="28"/>
  <c r="C138" i="28"/>
  <c r="M16" i="28"/>
  <c r="L16" i="28"/>
  <c r="K16" i="28"/>
  <c r="J16" i="28"/>
  <c r="I16" i="28"/>
  <c r="H16" i="28"/>
  <c r="M15" i="28"/>
  <c r="L15" i="28"/>
  <c r="K15" i="28"/>
  <c r="J15" i="28"/>
  <c r="I15" i="28"/>
  <c r="H15" i="28"/>
  <c r="G15" i="28"/>
  <c r="F15" i="28"/>
  <c r="E15" i="28"/>
  <c r="M14" i="28"/>
  <c r="L14" i="28"/>
  <c r="K14" i="28"/>
  <c r="J14" i="28"/>
  <c r="I14" i="28"/>
  <c r="H14" i="28"/>
  <c r="G14" i="28"/>
  <c r="F14" i="28"/>
  <c r="E14" i="28"/>
  <c r="D14" i="28"/>
  <c r="C14" i="28"/>
  <c r="C145" i="27"/>
  <c r="C134" i="27"/>
  <c r="C99" i="27"/>
  <c r="N142" i="38" s="1"/>
  <c r="C84" i="27"/>
  <c r="C57" i="27"/>
  <c r="C56" i="27"/>
  <c r="C55" i="27"/>
  <c r="C59" i="27"/>
  <c r="C58" i="27"/>
  <c r="L24" i="27"/>
  <c r="H24" i="27"/>
  <c r="C32" i="37" l="1"/>
  <c r="R16" i="38" s="1"/>
  <c r="R59" i="38" s="1"/>
  <c r="C33" i="29"/>
  <c r="C32" i="32"/>
  <c r="C32" i="35"/>
  <c r="C134" i="29"/>
  <c r="C111" i="29"/>
  <c r="C109" i="32" s="1"/>
  <c r="C108" i="35" s="1"/>
  <c r="C109" i="37" s="1"/>
  <c r="P60" i="36"/>
  <c r="H42" i="35"/>
  <c r="H41" i="35"/>
  <c r="H42" i="32"/>
  <c r="C62" i="31"/>
  <c r="C136" i="32"/>
  <c r="L31" i="35"/>
  <c r="K7" i="35"/>
  <c r="K9" i="35" s="1"/>
  <c r="H56" i="35" s="1"/>
  <c r="L49" i="29"/>
  <c r="C110" i="29" s="1"/>
  <c r="O99" i="38" s="1"/>
  <c r="N117" i="33"/>
  <c r="C151" i="33" s="1"/>
  <c r="N120" i="38"/>
  <c r="N152" i="38" s="1"/>
  <c r="N117" i="36"/>
  <c r="N115" i="28"/>
  <c r="D153" i="28" s="1"/>
  <c r="N115" i="30"/>
  <c r="D153" i="30" s="1"/>
  <c r="C60" i="37"/>
  <c r="C137" i="37" s="1"/>
  <c r="E137" i="37"/>
  <c r="P51" i="38"/>
  <c r="P58" i="38"/>
  <c r="P57" i="38"/>
  <c r="C108" i="32"/>
  <c r="P99" i="38" s="1"/>
  <c r="H48" i="35"/>
  <c r="H50" i="35" s="1"/>
  <c r="P8" i="33"/>
  <c r="P51" i="33" s="1"/>
  <c r="P8" i="36"/>
  <c r="F22" i="31"/>
  <c r="P15" i="33"/>
  <c r="C57" i="32"/>
  <c r="C60" i="29"/>
  <c r="K7" i="32"/>
  <c r="H49" i="32"/>
  <c r="H31" i="32"/>
  <c r="H32" i="32" s="1"/>
  <c r="L32" i="32"/>
  <c r="C25" i="29"/>
  <c r="O8" i="38" s="1"/>
  <c r="J27" i="29"/>
  <c r="L31" i="29"/>
  <c r="H43" i="29" s="1"/>
  <c r="C139" i="27"/>
  <c r="I137" i="27" s="1"/>
  <c r="L29" i="27"/>
  <c r="C24" i="27"/>
  <c r="J26" i="27"/>
  <c r="L48" i="27"/>
  <c r="P16" i="38" l="1"/>
  <c r="P59" i="38" s="1"/>
  <c r="P16" i="36"/>
  <c r="P16" i="33"/>
  <c r="P60" i="33"/>
  <c r="O16" i="38"/>
  <c r="O16" i="36"/>
  <c r="O16" i="33"/>
  <c r="O16" i="30"/>
  <c r="Q16" i="36"/>
  <c r="Q59" i="36" s="1"/>
  <c r="Q16" i="38"/>
  <c r="Q59" i="38" s="1"/>
  <c r="H43" i="35"/>
  <c r="L56" i="35"/>
  <c r="G107" i="35" s="1"/>
  <c r="Q101" i="38" s="1"/>
  <c r="H43" i="32"/>
  <c r="H30" i="37"/>
  <c r="K7" i="37" s="1"/>
  <c r="L32" i="35"/>
  <c r="H31" i="35"/>
  <c r="H32" i="35" s="1"/>
  <c r="H48" i="32"/>
  <c r="L48" i="32" s="1"/>
  <c r="E142" i="37"/>
  <c r="C142" i="32"/>
  <c r="C49" i="32"/>
  <c r="F62" i="31"/>
  <c r="H44" i="29"/>
  <c r="O117" i="36"/>
  <c r="C151" i="36" s="1"/>
  <c r="O115" i="30"/>
  <c r="E153" i="30" s="1"/>
  <c r="O120" i="38"/>
  <c r="O152" i="38" s="1"/>
  <c r="O117" i="33"/>
  <c r="D151" i="33" s="1"/>
  <c r="P117" i="33"/>
  <c r="E151" i="33" s="1"/>
  <c r="P120" i="38"/>
  <c r="P152" i="38" s="1"/>
  <c r="C199" i="38" s="1"/>
  <c r="P117" i="36"/>
  <c r="D151" i="36" s="1"/>
  <c r="P58" i="33"/>
  <c r="P57" i="33"/>
  <c r="L48" i="35"/>
  <c r="L50" i="35" s="1"/>
  <c r="O151" i="38"/>
  <c r="P151" i="38"/>
  <c r="C189" i="38" s="1"/>
  <c r="O51" i="38"/>
  <c r="O57" i="38"/>
  <c r="O58" i="38"/>
  <c r="O59" i="38"/>
  <c r="P96" i="33"/>
  <c r="E141" i="33" s="1"/>
  <c r="P96" i="36"/>
  <c r="D141" i="36" s="1"/>
  <c r="N8" i="36"/>
  <c r="N59" i="36" s="1"/>
  <c r="N8" i="38"/>
  <c r="H50" i="37"/>
  <c r="L48" i="37"/>
  <c r="P51" i="36"/>
  <c r="P57" i="36"/>
  <c r="P58" i="36"/>
  <c r="P59" i="36"/>
  <c r="O96" i="33"/>
  <c r="D141" i="33" s="1"/>
  <c r="O96" i="36"/>
  <c r="C141" i="36" s="1"/>
  <c r="O8" i="33"/>
  <c r="O8" i="36"/>
  <c r="P59" i="33"/>
  <c r="G22" i="31"/>
  <c r="H18" i="31"/>
  <c r="H25" i="31" s="1"/>
  <c r="K9" i="32"/>
  <c r="O94" i="30"/>
  <c r="E143" i="30" s="1"/>
  <c r="N8" i="30"/>
  <c r="N56" i="30" s="1"/>
  <c r="N8" i="33"/>
  <c r="H49" i="29"/>
  <c r="O8" i="30"/>
  <c r="C109" i="27"/>
  <c r="H48" i="29"/>
  <c r="H32" i="29"/>
  <c r="H33" i="29" s="1"/>
  <c r="L33" i="29"/>
  <c r="L9" i="29"/>
  <c r="L11" i="29" s="1"/>
  <c r="L31" i="27"/>
  <c r="H48" i="27"/>
  <c r="N8" i="28"/>
  <c r="H55" i="37" l="1"/>
  <c r="H42" i="37"/>
  <c r="H41" i="37"/>
  <c r="H43" i="37" s="1"/>
  <c r="F67" i="31"/>
  <c r="C69" i="31"/>
  <c r="F69" i="31"/>
  <c r="H50" i="32"/>
  <c r="K9" i="37"/>
  <c r="H56" i="37" s="1"/>
  <c r="H31" i="37"/>
  <c r="H32" i="37" s="1"/>
  <c r="N58" i="36"/>
  <c r="N57" i="36"/>
  <c r="N51" i="36"/>
  <c r="C48" i="35"/>
  <c r="C52" i="35" s="1"/>
  <c r="C70" i="35" s="1"/>
  <c r="Q98" i="36"/>
  <c r="E143" i="36" s="1"/>
  <c r="O58" i="33"/>
  <c r="Q117" i="36"/>
  <c r="E151" i="36" s="1"/>
  <c r="Q120" i="38"/>
  <c r="Q152" i="38" s="1"/>
  <c r="D199" i="38" s="1"/>
  <c r="Q174" i="38"/>
  <c r="D191" i="38" s="1"/>
  <c r="N96" i="36"/>
  <c r="N99" i="38"/>
  <c r="N51" i="38"/>
  <c r="N58" i="38"/>
  <c r="N59" i="38"/>
  <c r="N57" i="38"/>
  <c r="O59" i="33"/>
  <c r="L50" i="37"/>
  <c r="C48" i="37"/>
  <c r="C52" i="37" s="1"/>
  <c r="C70" i="37" s="1"/>
  <c r="O57" i="33"/>
  <c r="O51" i="33"/>
  <c r="O51" i="36"/>
  <c r="O57" i="36"/>
  <c r="O59" i="36"/>
  <c r="O58" i="36"/>
  <c r="H22" i="31"/>
  <c r="I18" i="31"/>
  <c r="N50" i="30"/>
  <c r="H56" i="32"/>
  <c r="N57" i="30"/>
  <c r="N58" i="30"/>
  <c r="N94" i="30"/>
  <c r="D143" i="30" s="1"/>
  <c r="N96" i="33"/>
  <c r="C141" i="33" s="1"/>
  <c r="N51" i="33"/>
  <c r="N58" i="33"/>
  <c r="N57" i="33"/>
  <c r="N59" i="33"/>
  <c r="L50" i="32"/>
  <c r="C48" i="32"/>
  <c r="C52" i="32" s="1"/>
  <c r="C71" i="32" s="1"/>
  <c r="N94" i="28"/>
  <c r="D143" i="28" s="1"/>
  <c r="O50" i="30"/>
  <c r="O56" i="30"/>
  <c r="O58" i="30"/>
  <c r="O57" i="30"/>
  <c r="H56" i="29"/>
  <c r="N50" i="28"/>
  <c r="N57" i="28"/>
  <c r="N58" i="28"/>
  <c r="N56" i="28"/>
  <c r="L56" i="37" l="1"/>
  <c r="G108" i="37" s="1"/>
  <c r="R101" i="38" s="1"/>
  <c r="R174" i="38" s="1"/>
  <c r="E191" i="38" s="1"/>
  <c r="G99" i="37"/>
  <c r="R167" i="38" s="1"/>
  <c r="G100" i="32"/>
  <c r="P167" i="38" s="1"/>
  <c r="G99" i="35"/>
  <c r="Q167" i="38" s="1"/>
  <c r="G98" i="37"/>
  <c r="R166" i="38" s="1"/>
  <c r="G98" i="35"/>
  <c r="Q166" i="38" s="1"/>
  <c r="G99" i="32"/>
  <c r="P166" i="38" s="1"/>
  <c r="I22" i="31"/>
  <c r="I25" i="31"/>
  <c r="R152" i="38"/>
  <c r="E199" i="38" s="1"/>
  <c r="R120" i="38"/>
  <c r="L56" i="32"/>
  <c r="G108" i="32" s="1"/>
  <c r="N151" i="38"/>
  <c r="L56" i="29"/>
  <c r="P101" i="38" l="1"/>
  <c r="P174" i="38" s="1"/>
  <c r="C191" i="38" s="1"/>
  <c r="P98" i="33"/>
  <c r="E143" i="33" s="1"/>
  <c r="P98" i="36"/>
  <c r="D143" i="36" s="1"/>
  <c r="H55" i="35"/>
  <c r="L55" i="35" s="1"/>
  <c r="H57" i="37"/>
  <c r="L55" i="37"/>
  <c r="E110" i="29"/>
  <c r="O96" i="30" s="1"/>
  <c r="E145" i="30" s="1"/>
  <c r="H55" i="32"/>
  <c r="O98" i="33" l="1"/>
  <c r="D143" i="33" s="1"/>
  <c r="H57" i="35"/>
  <c r="O98" i="36"/>
  <c r="C143" i="36" s="1"/>
  <c r="O101" i="38"/>
  <c r="O174" i="38" s="1"/>
  <c r="L57" i="35"/>
  <c r="C56" i="35"/>
  <c r="C56" i="37"/>
  <c r="L57" i="37"/>
  <c r="H57" i="32"/>
  <c r="L55" i="32"/>
  <c r="M15" i="25"/>
  <c r="M16" i="25"/>
  <c r="M14" i="25"/>
  <c r="C133" i="24"/>
  <c r="J24" i="24"/>
  <c r="J26" i="24" s="1"/>
  <c r="F24" i="24"/>
  <c r="F26" i="24" s="1"/>
  <c r="E25" i="26"/>
  <c r="D25" i="26"/>
  <c r="C25" i="26"/>
  <c r="C29" i="26" s="1"/>
  <c r="C12" i="26"/>
  <c r="F12" i="26"/>
  <c r="E12" i="26"/>
  <c r="D12" i="26"/>
  <c r="I12" i="26"/>
  <c r="H12" i="26"/>
  <c r="K5" i="24" s="1"/>
  <c r="K7" i="24" s="1"/>
  <c r="G12" i="26"/>
  <c r="C99" i="25"/>
  <c r="L16" i="25"/>
  <c r="K16" i="25"/>
  <c r="J16" i="25"/>
  <c r="I16" i="25"/>
  <c r="H16" i="25"/>
  <c r="L15" i="25"/>
  <c r="K15" i="25"/>
  <c r="J15" i="25"/>
  <c r="I15" i="25"/>
  <c r="H15" i="25"/>
  <c r="G15" i="25"/>
  <c r="F15" i="25"/>
  <c r="E15" i="25"/>
  <c r="L14" i="25"/>
  <c r="K14" i="25"/>
  <c r="J14" i="25"/>
  <c r="I14" i="25"/>
  <c r="H14" i="25"/>
  <c r="G14" i="25"/>
  <c r="F14" i="25"/>
  <c r="E14" i="25"/>
  <c r="D14" i="25"/>
  <c r="C139" i="24"/>
  <c r="C128" i="24"/>
  <c r="C99" i="24"/>
  <c r="M142" i="38" s="1"/>
  <c r="C56" i="24"/>
  <c r="C55" i="24"/>
  <c r="C54" i="24"/>
  <c r="C58" i="24"/>
  <c r="C57" i="24"/>
  <c r="L24" i="24"/>
  <c r="H24" i="24"/>
  <c r="C104" i="24" l="1"/>
  <c r="C56" i="32"/>
  <c r="L57" i="32"/>
  <c r="C24" i="24"/>
  <c r="L48" i="24"/>
  <c r="L30" i="24"/>
  <c r="L31" i="24"/>
  <c r="H29" i="27" s="1"/>
  <c r="J24" i="22"/>
  <c r="F24" i="22"/>
  <c r="L15" i="23"/>
  <c r="L16" i="23"/>
  <c r="L14" i="23"/>
  <c r="C99" i="23"/>
  <c r="K16" i="23"/>
  <c r="J16" i="23"/>
  <c r="I16" i="23"/>
  <c r="H16" i="23"/>
  <c r="K15" i="23"/>
  <c r="J15" i="23"/>
  <c r="I15" i="23"/>
  <c r="H15" i="23"/>
  <c r="G15" i="23"/>
  <c r="F15" i="23"/>
  <c r="E15" i="23"/>
  <c r="K14" i="23"/>
  <c r="J14" i="23"/>
  <c r="I14" i="23"/>
  <c r="H14" i="23"/>
  <c r="G14" i="23"/>
  <c r="F14" i="23"/>
  <c r="E14" i="23"/>
  <c r="D14" i="23"/>
  <c r="C14" i="23"/>
  <c r="D129" i="22"/>
  <c r="D123" i="22"/>
  <c r="D118" i="22"/>
  <c r="C91" i="22"/>
  <c r="L142" i="38" s="1"/>
  <c r="C75" i="22"/>
  <c r="D56" i="22"/>
  <c r="D55" i="22"/>
  <c r="D54" i="22"/>
  <c r="D58" i="22"/>
  <c r="F26" i="26"/>
  <c r="K7" i="22"/>
  <c r="L24" i="22"/>
  <c r="H24" i="22"/>
  <c r="D58" i="20"/>
  <c r="J24" i="20"/>
  <c r="J26" i="20" s="1"/>
  <c r="F24" i="20"/>
  <c r="K16" i="21"/>
  <c r="K15" i="21"/>
  <c r="K14" i="21"/>
  <c r="C99" i="21"/>
  <c r="J16" i="21"/>
  <c r="I16" i="21"/>
  <c r="H16" i="21"/>
  <c r="J15" i="21"/>
  <c r="I15" i="21"/>
  <c r="H15" i="21"/>
  <c r="G15" i="21"/>
  <c r="F15" i="21"/>
  <c r="E15" i="21"/>
  <c r="J14" i="21"/>
  <c r="I14" i="21"/>
  <c r="H14" i="21"/>
  <c r="G14" i="21"/>
  <c r="F14" i="21"/>
  <c r="E14" i="21"/>
  <c r="D14" i="21"/>
  <c r="C14" i="21"/>
  <c r="D129" i="20"/>
  <c r="D118" i="20"/>
  <c r="C91" i="20"/>
  <c r="K142" i="38" s="1"/>
  <c r="C75" i="20"/>
  <c r="D123" i="20"/>
  <c r="D56" i="20"/>
  <c r="D55" i="20"/>
  <c r="D54" i="20"/>
  <c r="L24" i="20"/>
  <c r="H24" i="20"/>
  <c r="H40" i="27" l="1"/>
  <c r="H41" i="27"/>
  <c r="C104" i="27"/>
  <c r="C105" i="29" s="1"/>
  <c r="M146" i="38"/>
  <c r="M8" i="36"/>
  <c r="M57" i="36" s="1"/>
  <c r="M8" i="38"/>
  <c r="C26" i="31"/>
  <c r="H30" i="27"/>
  <c r="H31" i="27" s="1"/>
  <c r="K9" i="27"/>
  <c r="K11" i="27" s="1"/>
  <c r="H55" i="27" s="1"/>
  <c r="M8" i="30"/>
  <c r="M58" i="30" s="1"/>
  <c r="M8" i="33"/>
  <c r="H48" i="24"/>
  <c r="C107" i="24"/>
  <c r="H47" i="27"/>
  <c r="L30" i="20"/>
  <c r="D57" i="22"/>
  <c r="F25" i="26" s="1"/>
  <c r="C25" i="31" s="1"/>
  <c r="L48" i="20"/>
  <c r="H47" i="22" s="1"/>
  <c r="F26" i="20"/>
  <c r="D57" i="20"/>
  <c r="E26" i="26"/>
  <c r="E29" i="26" s="1"/>
  <c r="M8" i="25"/>
  <c r="M58" i="25" s="1"/>
  <c r="M8" i="28"/>
  <c r="L48" i="22"/>
  <c r="L99" i="38" s="1"/>
  <c r="L32" i="24"/>
  <c r="D24" i="20"/>
  <c r="D24" i="22"/>
  <c r="L8" i="38" s="1"/>
  <c r="L31" i="22"/>
  <c r="F26" i="22"/>
  <c r="L30" i="22"/>
  <c r="J26" i="22"/>
  <c r="J16" i="19"/>
  <c r="J15" i="19"/>
  <c r="J14" i="19"/>
  <c r="C99" i="19"/>
  <c r="I16" i="19"/>
  <c r="H16" i="19"/>
  <c r="I15" i="19"/>
  <c r="H15" i="19"/>
  <c r="G15" i="19"/>
  <c r="F15" i="19"/>
  <c r="E15" i="19"/>
  <c r="I14" i="19"/>
  <c r="H14" i="19"/>
  <c r="G14" i="19"/>
  <c r="F14" i="19"/>
  <c r="E14" i="19"/>
  <c r="D14" i="19"/>
  <c r="C14" i="19"/>
  <c r="D65" i="18"/>
  <c r="D127" i="18" s="1"/>
  <c r="D52" i="18"/>
  <c r="E98" i="18" s="1"/>
  <c r="L40" i="18"/>
  <c r="H40" i="18"/>
  <c r="H45" i="18" s="1"/>
  <c r="G12" i="17"/>
  <c r="K5" i="18" s="1"/>
  <c r="K7" i="18" s="1"/>
  <c r="K9" i="18" s="1"/>
  <c r="D62" i="18"/>
  <c r="C82" i="17"/>
  <c r="C95" i="18"/>
  <c r="J142" i="38" s="1"/>
  <c r="D36" i="18" l="1"/>
  <c r="C37" i="35"/>
  <c r="C37" i="37"/>
  <c r="C37" i="32"/>
  <c r="C37" i="29"/>
  <c r="H30" i="24"/>
  <c r="K9" i="24" s="1"/>
  <c r="K11" i="24" s="1"/>
  <c r="H54" i="24" s="1"/>
  <c r="M58" i="36"/>
  <c r="H42" i="27"/>
  <c r="K12" i="37"/>
  <c r="O146" i="38"/>
  <c r="K12" i="35"/>
  <c r="K12" i="32"/>
  <c r="N146" i="38"/>
  <c r="E106" i="29"/>
  <c r="G104" i="32" s="1"/>
  <c r="G103" i="37" s="1"/>
  <c r="R171" i="38" s="1"/>
  <c r="J171" i="38"/>
  <c r="J24" i="38"/>
  <c r="J24" i="36"/>
  <c r="M59" i="36"/>
  <c r="M51" i="36"/>
  <c r="L55" i="27"/>
  <c r="F109" i="27" s="1"/>
  <c r="L151" i="38"/>
  <c r="L51" i="38"/>
  <c r="L57" i="38"/>
  <c r="L58" i="38"/>
  <c r="L59" i="38"/>
  <c r="K8" i="36"/>
  <c r="K51" i="36" s="1"/>
  <c r="K8" i="38"/>
  <c r="M96" i="36"/>
  <c r="M99" i="38"/>
  <c r="M51" i="38"/>
  <c r="M59" i="38"/>
  <c r="M57" i="38"/>
  <c r="M58" i="38"/>
  <c r="L8" i="33"/>
  <c r="L59" i="33" s="1"/>
  <c r="L8" i="36"/>
  <c r="L96" i="33"/>
  <c r="L96" i="36"/>
  <c r="M57" i="30"/>
  <c r="F29" i="26"/>
  <c r="C29" i="31"/>
  <c r="J24" i="33"/>
  <c r="J23" i="30"/>
  <c r="M56" i="30"/>
  <c r="M50" i="30"/>
  <c r="M94" i="25"/>
  <c r="M96" i="33"/>
  <c r="M51" i="33"/>
  <c r="M58" i="33"/>
  <c r="M57" i="33"/>
  <c r="M59" i="33"/>
  <c r="K8" i="30"/>
  <c r="K57" i="30" s="1"/>
  <c r="K8" i="33"/>
  <c r="L8" i="28"/>
  <c r="L58" i="28" s="1"/>
  <c r="L8" i="30"/>
  <c r="M94" i="28"/>
  <c r="C143" i="28" s="1"/>
  <c r="M94" i="30"/>
  <c r="C143" i="30" s="1"/>
  <c r="M50" i="25"/>
  <c r="L94" i="28"/>
  <c r="L94" i="30"/>
  <c r="H50" i="29"/>
  <c r="L48" i="29"/>
  <c r="C36" i="27"/>
  <c r="C36" i="24"/>
  <c r="D36" i="20"/>
  <c r="D36" i="22"/>
  <c r="C97" i="20"/>
  <c r="K99" i="38" s="1"/>
  <c r="D131" i="18"/>
  <c r="F105" i="27"/>
  <c r="N171" i="38" s="1"/>
  <c r="E104" i="24"/>
  <c r="M171" i="38" s="1"/>
  <c r="E94" i="20"/>
  <c r="K171" i="38" s="1"/>
  <c r="E94" i="22"/>
  <c r="L171" i="38" s="1"/>
  <c r="J23" i="19"/>
  <c r="J23" i="28"/>
  <c r="J23" i="25"/>
  <c r="J23" i="23"/>
  <c r="J23" i="21"/>
  <c r="D61" i="18"/>
  <c r="D26" i="26"/>
  <c r="D29" i="26" s="1"/>
  <c r="M50" i="28"/>
  <c r="M56" i="28"/>
  <c r="M57" i="28"/>
  <c r="M58" i="28"/>
  <c r="K8" i="25"/>
  <c r="K58" i="25" s="1"/>
  <c r="K8" i="28"/>
  <c r="M57" i="25"/>
  <c r="H48" i="20"/>
  <c r="M56" i="25"/>
  <c r="L94" i="25"/>
  <c r="H47" i="24"/>
  <c r="H49" i="24" s="1"/>
  <c r="L8" i="23"/>
  <c r="L50" i="23" s="1"/>
  <c r="L8" i="25"/>
  <c r="L94" i="23"/>
  <c r="C97" i="22"/>
  <c r="K8" i="21"/>
  <c r="K8" i="23"/>
  <c r="H48" i="22"/>
  <c r="L32" i="22"/>
  <c r="D123" i="18"/>
  <c r="D66" i="18"/>
  <c r="H41" i="18"/>
  <c r="H42" i="18" s="1"/>
  <c r="L41" i="18" s="1"/>
  <c r="L45" i="18"/>
  <c r="D133" i="18"/>
  <c r="D122" i="18"/>
  <c r="C79" i="18"/>
  <c r="D60" i="18"/>
  <c r="D59" i="18"/>
  <c r="D58" i="18"/>
  <c r="L26" i="18"/>
  <c r="J26" i="18"/>
  <c r="H26" i="18"/>
  <c r="H36" i="18" s="1"/>
  <c r="H58" i="18" s="1"/>
  <c r="F26" i="18"/>
  <c r="L24" i="18"/>
  <c r="L52" i="18" s="1"/>
  <c r="H24" i="18"/>
  <c r="F12" i="17"/>
  <c r="H12" i="17"/>
  <c r="K5" i="20" s="1"/>
  <c r="K7" i="20" s="1"/>
  <c r="L31" i="20" s="1"/>
  <c r="C10" i="17"/>
  <c r="E9" i="17"/>
  <c r="D9" i="17"/>
  <c r="C9" i="17"/>
  <c r="E218" i="38" l="1"/>
  <c r="H31" i="24"/>
  <c r="H32" i="24" s="1"/>
  <c r="P24" i="36"/>
  <c r="P67" i="36" s="1"/>
  <c r="P24" i="33"/>
  <c r="P67" i="33" s="1"/>
  <c r="P24" i="38"/>
  <c r="P67" i="38" s="1"/>
  <c r="C126" i="32"/>
  <c r="C67" i="32"/>
  <c r="C69" i="32" s="1"/>
  <c r="C66" i="35"/>
  <c r="Q24" i="38"/>
  <c r="Q67" i="38" s="1"/>
  <c r="C125" i="35"/>
  <c r="Q24" i="36"/>
  <c r="Q67" i="36" s="1"/>
  <c r="H41" i="24"/>
  <c r="H42" i="24"/>
  <c r="O24" i="33"/>
  <c r="O67" i="33" s="1"/>
  <c r="I128" i="29"/>
  <c r="C136" i="29"/>
  <c r="O24" i="38"/>
  <c r="O67" i="38" s="1"/>
  <c r="C65" i="29"/>
  <c r="O23" i="30"/>
  <c r="O65" i="30" s="1"/>
  <c r="O24" i="36"/>
  <c r="O67" i="36" s="1"/>
  <c r="C66" i="37"/>
  <c r="R24" i="38"/>
  <c r="R67" i="38" s="1"/>
  <c r="C126" i="37"/>
  <c r="C103" i="32"/>
  <c r="P146" i="38" s="1"/>
  <c r="H30" i="22"/>
  <c r="H31" i="22" s="1"/>
  <c r="H32" i="22" s="1"/>
  <c r="O171" i="38"/>
  <c r="N24" i="33"/>
  <c r="N67" i="33" s="1"/>
  <c r="N24" i="38"/>
  <c r="N67" i="38" s="1"/>
  <c r="N24" i="36"/>
  <c r="N67" i="36" s="1"/>
  <c r="M24" i="36"/>
  <c r="M67" i="36" s="1"/>
  <c r="M24" i="38"/>
  <c r="M67" i="38" s="1"/>
  <c r="K58" i="36"/>
  <c r="L24" i="38"/>
  <c r="L67" i="38" s="1"/>
  <c r="L24" i="36"/>
  <c r="L67" i="36" s="1"/>
  <c r="L30" i="18"/>
  <c r="L35" i="18" s="1"/>
  <c r="K24" i="36"/>
  <c r="K67" i="36" s="1"/>
  <c r="K24" i="38"/>
  <c r="K67" i="38" s="1"/>
  <c r="G103" i="35"/>
  <c r="Q171" i="38" s="1"/>
  <c r="D218" i="38" s="1"/>
  <c r="P171" i="38"/>
  <c r="C218" i="38" s="1"/>
  <c r="L58" i="33"/>
  <c r="L51" i="33"/>
  <c r="H55" i="29"/>
  <c r="H57" i="29" s="1"/>
  <c r="N98" i="36"/>
  <c r="N101" i="38"/>
  <c r="N174" i="38" s="1"/>
  <c r="E145" i="37"/>
  <c r="M151" i="38"/>
  <c r="K151" i="38"/>
  <c r="K51" i="38"/>
  <c r="K58" i="38"/>
  <c r="K59" i="38"/>
  <c r="K57" i="38"/>
  <c r="K59" i="36"/>
  <c r="K57" i="36"/>
  <c r="L57" i="33"/>
  <c r="K96" i="33"/>
  <c r="K96" i="36"/>
  <c r="L51" i="36"/>
  <c r="L59" i="36"/>
  <c r="L57" i="36"/>
  <c r="L58" i="36"/>
  <c r="G29" i="26"/>
  <c r="M24" i="33"/>
  <c r="M67" i="33" s="1"/>
  <c r="M23" i="30"/>
  <c r="M65" i="30" s="1"/>
  <c r="L24" i="33"/>
  <c r="L67" i="33" s="1"/>
  <c r="L23" i="30"/>
  <c r="L65" i="30" s="1"/>
  <c r="D29" i="31"/>
  <c r="K50" i="30"/>
  <c r="K24" i="33"/>
  <c r="K67" i="33" s="1"/>
  <c r="K23" i="30"/>
  <c r="K65" i="30" s="1"/>
  <c r="L57" i="28"/>
  <c r="L50" i="28"/>
  <c r="L56" i="28"/>
  <c r="K56" i="30"/>
  <c r="N96" i="30"/>
  <c r="D145" i="30" s="1"/>
  <c r="N98" i="33"/>
  <c r="C143" i="33" s="1"/>
  <c r="N96" i="28"/>
  <c r="D145" i="28" s="1"/>
  <c r="K58" i="30"/>
  <c r="K51" i="33"/>
  <c r="K58" i="33"/>
  <c r="K59" i="33"/>
  <c r="K57" i="33"/>
  <c r="N23" i="30"/>
  <c r="N65" i="30" s="1"/>
  <c r="I127" i="27"/>
  <c r="L56" i="30"/>
  <c r="L58" i="30"/>
  <c r="L50" i="30"/>
  <c r="L57" i="30"/>
  <c r="K94" i="28"/>
  <c r="K94" i="30"/>
  <c r="L50" i="29"/>
  <c r="C48" i="29"/>
  <c r="C51" i="29" s="1"/>
  <c r="C71" i="29" s="1"/>
  <c r="L47" i="24"/>
  <c r="C47" i="24" s="1"/>
  <c r="C50" i="24" s="1"/>
  <c r="C69" i="24" s="1"/>
  <c r="K56" i="25"/>
  <c r="K50" i="25"/>
  <c r="K94" i="25"/>
  <c r="K94" i="21"/>
  <c r="K57" i="25"/>
  <c r="L23" i="23"/>
  <c r="L65" i="23" s="1"/>
  <c r="D119" i="22"/>
  <c r="D62" i="22"/>
  <c r="L23" i="28"/>
  <c r="L65" i="28" s="1"/>
  <c r="L23" i="25"/>
  <c r="L65" i="25" s="1"/>
  <c r="K23" i="23"/>
  <c r="K65" i="23" s="1"/>
  <c r="K23" i="21"/>
  <c r="K65" i="21" s="1"/>
  <c r="K23" i="25"/>
  <c r="K65" i="25" s="1"/>
  <c r="D62" i="20"/>
  <c r="K23" i="28"/>
  <c r="K65" i="28" s="1"/>
  <c r="D119" i="20"/>
  <c r="M23" i="25"/>
  <c r="M65" i="25" s="1"/>
  <c r="C129" i="24"/>
  <c r="M23" i="28"/>
  <c r="M65" i="28" s="1"/>
  <c r="C63" i="24"/>
  <c r="C135" i="27"/>
  <c r="N23" i="28"/>
  <c r="N65" i="28" s="1"/>
  <c r="C64" i="27"/>
  <c r="K94" i="23"/>
  <c r="H29" i="26"/>
  <c r="I29" i="26"/>
  <c r="L42" i="18"/>
  <c r="H30" i="20"/>
  <c r="H42" i="20" s="1"/>
  <c r="C12" i="17"/>
  <c r="K50" i="28"/>
  <c r="K56" i="28"/>
  <c r="K57" i="28"/>
  <c r="K58" i="28"/>
  <c r="L57" i="23"/>
  <c r="H49" i="27"/>
  <c r="L47" i="27"/>
  <c r="L56" i="23"/>
  <c r="L57" i="25"/>
  <c r="L56" i="25"/>
  <c r="L50" i="25"/>
  <c r="L58" i="25"/>
  <c r="L58" i="23"/>
  <c r="K50" i="21"/>
  <c r="K57" i="21"/>
  <c r="K58" i="21"/>
  <c r="K56" i="21"/>
  <c r="K57" i="23"/>
  <c r="K56" i="23"/>
  <c r="K50" i="23"/>
  <c r="K58" i="23"/>
  <c r="L54" i="24"/>
  <c r="C101" i="18"/>
  <c r="J99" i="38" s="1"/>
  <c r="H47" i="20"/>
  <c r="L58" i="18"/>
  <c r="D24" i="18"/>
  <c r="D26" i="18"/>
  <c r="C75" i="32" l="1"/>
  <c r="C73" i="32"/>
  <c r="C72" i="35"/>
  <c r="C74" i="35" s="1"/>
  <c r="C68" i="35"/>
  <c r="H43" i="24"/>
  <c r="C102" i="35"/>
  <c r="C102" i="37" s="1"/>
  <c r="K9" i="22"/>
  <c r="H41" i="22"/>
  <c r="H42" i="22"/>
  <c r="E126" i="37"/>
  <c r="H41" i="20"/>
  <c r="H43" i="20" s="1"/>
  <c r="L55" i="29"/>
  <c r="L57" i="29" s="1"/>
  <c r="J151" i="38"/>
  <c r="J10" i="36"/>
  <c r="J10" i="38"/>
  <c r="J8" i="36"/>
  <c r="J12" i="36" s="1"/>
  <c r="J8" i="38"/>
  <c r="J94" i="19"/>
  <c r="J96" i="36"/>
  <c r="E29" i="31"/>
  <c r="J10" i="30"/>
  <c r="J10" i="33"/>
  <c r="J8" i="30"/>
  <c r="J56" i="30" s="1"/>
  <c r="J8" i="33"/>
  <c r="J94" i="30"/>
  <c r="J96" i="33"/>
  <c r="L49" i="24"/>
  <c r="E107" i="24"/>
  <c r="H54" i="27"/>
  <c r="H31" i="20"/>
  <c r="H32" i="20" s="1"/>
  <c r="L32" i="20" s="1"/>
  <c r="K9" i="20"/>
  <c r="K11" i="20" s="1"/>
  <c r="J94" i="25"/>
  <c r="J94" i="28"/>
  <c r="J8" i="25"/>
  <c r="J50" i="25" s="1"/>
  <c r="J8" i="28"/>
  <c r="J10" i="25"/>
  <c r="J10" i="28"/>
  <c r="L49" i="27"/>
  <c r="C47" i="27"/>
  <c r="C50" i="27" s="1"/>
  <c r="C70" i="27" s="1"/>
  <c r="J10" i="21"/>
  <c r="J10" i="23"/>
  <c r="J94" i="21"/>
  <c r="J94" i="23"/>
  <c r="J8" i="21"/>
  <c r="J8" i="23"/>
  <c r="E101" i="18"/>
  <c r="H53" i="20"/>
  <c r="L47" i="22"/>
  <c r="H49" i="22"/>
  <c r="D28" i="18"/>
  <c r="D34" i="18" s="1"/>
  <c r="D38" i="18" s="1"/>
  <c r="J10" i="19"/>
  <c r="H52" i="18"/>
  <c r="J8" i="19"/>
  <c r="D62" i="17"/>
  <c r="D63" i="17"/>
  <c r="D64" i="17"/>
  <c r="D65" i="17"/>
  <c r="D66" i="17"/>
  <c r="D67" i="17"/>
  <c r="D61" i="17"/>
  <c r="B62" i="17"/>
  <c r="B63" i="17" s="1"/>
  <c r="B32" i="17"/>
  <c r="G18" i="17"/>
  <c r="Q146" i="38" l="1"/>
  <c r="B33" i="17"/>
  <c r="F32" i="17"/>
  <c r="K11" i="22"/>
  <c r="H54" i="22" s="1"/>
  <c r="K13" i="35"/>
  <c r="G127" i="35" s="1"/>
  <c r="K13" i="37"/>
  <c r="K13" i="32"/>
  <c r="G128" i="32" s="1"/>
  <c r="L14" i="29"/>
  <c r="J51" i="36"/>
  <c r="C55" i="29"/>
  <c r="H43" i="22"/>
  <c r="J59" i="36"/>
  <c r="J57" i="36"/>
  <c r="J58" i="36"/>
  <c r="J67" i="36"/>
  <c r="J53" i="36"/>
  <c r="M101" i="38"/>
  <c r="M174" i="38" s="1"/>
  <c r="M98" i="36"/>
  <c r="R146" i="38"/>
  <c r="J53" i="38"/>
  <c r="J51" i="38"/>
  <c r="J67" i="38"/>
  <c r="J12" i="38"/>
  <c r="J59" i="38"/>
  <c r="J58" i="38"/>
  <c r="J57" i="38"/>
  <c r="J98" i="36"/>
  <c r="J101" i="38"/>
  <c r="J55" i="36"/>
  <c r="J19" i="36"/>
  <c r="F29" i="31"/>
  <c r="J58" i="30"/>
  <c r="J65" i="30"/>
  <c r="J52" i="30"/>
  <c r="J12" i="30"/>
  <c r="J54" i="30" s="1"/>
  <c r="M98" i="33"/>
  <c r="M96" i="30"/>
  <c r="C145" i="30" s="1"/>
  <c r="J96" i="30"/>
  <c r="J98" i="33"/>
  <c r="J51" i="33"/>
  <c r="J12" i="33"/>
  <c r="J58" i="33"/>
  <c r="J67" i="33"/>
  <c r="J59" i="33"/>
  <c r="J57" i="33"/>
  <c r="J57" i="30"/>
  <c r="J50" i="30"/>
  <c r="J53" i="33"/>
  <c r="J52" i="25"/>
  <c r="J65" i="25"/>
  <c r="J57" i="25"/>
  <c r="C31" i="17"/>
  <c r="K14" i="27"/>
  <c r="K14" i="24"/>
  <c r="K14" i="22"/>
  <c r="K14" i="20"/>
  <c r="D112" i="20" s="1"/>
  <c r="K12" i="18"/>
  <c r="D116" i="18" s="1"/>
  <c r="D118" i="18" s="1"/>
  <c r="H54" i="20"/>
  <c r="H56" i="27"/>
  <c r="L54" i="27"/>
  <c r="M96" i="28"/>
  <c r="C145" i="28" s="1"/>
  <c r="M96" i="25"/>
  <c r="J57" i="28"/>
  <c r="J50" i="28"/>
  <c r="J12" i="28"/>
  <c r="J65" i="28"/>
  <c r="J58" i="28"/>
  <c r="J56" i="28"/>
  <c r="J58" i="25"/>
  <c r="J52" i="28"/>
  <c r="J96" i="21"/>
  <c r="J96" i="28"/>
  <c r="J56" i="25"/>
  <c r="J12" i="25"/>
  <c r="J18" i="25" s="1"/>
  <c r="J96" i="23"/>
  <c r="J96" i="25"/>
  <c r="J96" i="19"/>
  <c r="J12" i="21"/>
  <c r="J18" i="21" s="1"/>
  <c r="J56" i="21"/>
  <c r="J50" i="21"/>
  <c r="J57" i="21"/>
  <c r="J52" i="23"/>
  <c r="J58" i="21"/>
  <c r="J65" i="21"/>
  <c r="J12" i="23"/>
  <c r="J65" i="23"/>
  <c r="J56" i="23"/>
  <c r="J58" i="23"/>
  <c r="J50" i="23"/>
  <c r="J57" i="23"/>
  <c r="J52" i="21"/>
  <c r="L49" i="22"/>
  <c r="D47" i="22"/>
  <c r="D50" i="22" s="1"/>
  <c r="D115" i="18"/>
  <c r="J65" i="19"/>
  <c r="J56" i="19"/>
  <c r="J50" i="19"/>
  <c r="J57" i="19"/>
  <c r="J58" i="19"/>
  <c r="J12" i="19"/>
  <c r="J52" i="19"/>
  <c r="D40" i="18"/>
  <c r="C81" i="18"/>
  <c r="F62" i="17"/>
  <c r="G62" i="17" s="1"/>
  <c r="F61" i="17"/>
  <c r="G61" i="17" s="1"/>
  <c r="B64" i="17"/>
  <c r="C32" i="17"/>
  <c r="E31" i="17"/>
  <c r="G31" i="17" s="1"/>
  <c r="H31" i="17" s="1"/>
  <c r="C61" i="17" s="1"/>
  <c r="E61" i="17" s="1"/>
  <c r="C49" i="16"/>
  <c r="D34" i="16"/>
  <c r="D33" i="16"/>
  <c r="D32" i="16"/>
  <c r="L6" i="16"/>
  <c r="J6" i="16"/>
  <c r="H6" i="16"/>
  <c r="F6" i="16"/>
  <c r="L4" i="16"/>
  <c r="H4" i="16"/>
  <c r="C73" i="29" l="1"/>
  <c r="C75" i="29" s="1"/>
  <c r="C67" i="29"/>
  <c r="L54" i="22"/>
  <c r="I61" i="17"/>
  <c r="H61" i="17"/>
  <c r="O104" i="30"/>
  <c r="O109" i="38"/>
  <c r="C128" i="29"/>
  <c r="I124" i="29"/>
  <c r="I146" i="29" s="1"/>
  <c r="O106" i="36"/>
  <c r="O106" i="33"/>
  <c r="L16" i="29"/>
  <c r="P106" i="33"/>
  <c r="K15" i="32"/>
  <c r="C122" i="32"/>
  <c r="P109" i="38"/>
  <c r="P106" i="36"/>
  <c r="K15" i="37"/>
  <c r="C122" i="37"/>
  <c r="R109" i="38"/>
  <c r="K15" i="35"/>
  <c r="Q109" i="38"/>
  <c r="C121" i="35"/>
  <c r="Q106" i="36"/>
  <c r="I62" i="17"/>
  <c r="H62" i="17"/>
  <c r="B34" i="17"/>
  <c r="F33" i="17"/>
  <c r="F63" i="17" s="1"/>
  <c r="G63" i="17" s="1"/>
  <c r="N106" i="33"/>
  <c r="N106" i="36"/>
  <c r="N109" i="38"/>
  <c r="M106" i="36"/>
  <c r="M109" i="38"/>
  <c r="K109" i="38"/>
  <c r="K106" i="36"/>
  <c r="L54" i="20"/>
  <c r="H53" i="22" s="1"/>
  <c r="J174" i="38"/>
  <c r="J19" i="38"/>
  <c r="J55" i="38"/>
  <c r="J28" i="36"/>
  <c r="J71" i="36" s="1"/>
  <c r="J28" i="38"/>
  <c r="J71" i="38" s="1"/>
  <c r="J62" i="36"/>
  <c r="J65" i="36" s="1"/>
  <c r="J69" i="36" s="1"/>
  <c r="J22" i="36"/>
  <c r="M106" i="33"/>
  <c r="M104" i="30"/>
  <c r="G29" i="31"/>
  <c r="K16" i="20"/>
  <c r="K18" i="20" s="1"/>
  <c r="K106" i="33"/>
  <c r="K104" i="30"/>
  <c r="J18" i="30"/>
  <c r="J21" i="30" s="1"/>
  <c r="J19" i="33"/>
  <c r="J55" i="33"/>
  <c r="J27" i="30"/>
  <c r="J69" i="30" s="1"/>
  <c r="J28" i="33"/>
  <c r="J71" i="33" s="1"/>
  <c r="I123" i="27"/>
  <c r="I145" i="27" s="1"/>
  <c r="N104" i="30"/>
  <c r="K104" i="28"/>
  <c r="K104" i="25"/>
  <c r="K104" i="23"/>
  <c r="C96" i="18"/>
  <c r="J143" i="38" s="1"/>
  <c r="J144" i="38" s="1"/>
  <c r="K14" i="18"/>
  <c r="K16" i="18" s="1"/>
  <c r="D112" i="22"/>
  <c r="K16" i="22"/>
  <c r="M104" i="25"/>
  <c r="C122" i="24"/>
  <c r="M104" i="28"/>
  <c r="K16" i="24"/>
  <c r="C127" i="27"/>
  <c r="N104" i="28"/>
  <c r="K16" i="27"/>
  <c r="L56" i="27"/>
  <c r="C54" i="27"/>
  <c r="C66" i="27" s="1"/>
  <c r="J27" i="25"/>
  <c r="J69" i="25" s="1"/>
  <c r="J27" i="28"/>
  <c r="J69" i="28" s="1"/>
  <c r="J54" i="25"/>
  <c r="J18" i="28"/>
  <c r="J54" i="28"/>
  <c r="J21" i="25"/>
  <c r="J60" i="25"/>
  <c r="J63" i="25" s="1"/>
  <c r="J67" i="25" s="1"/>
  <c r="J54" i="21"/>
  <c r="J27" i="21"/>
  <c r="J69" i="21" s="1"/>
  <c r="J27" i="23"/>
  <c r="J69" i="23" s="1"/>
  <c r="J18" i="23"/>
  <c r="J54" i="23"/>
  <c r="J21" i="21"/>
  <c r="J25" i="21" s="1"/>
  <c r="J60" i="21"/>
  <c r="J63" i="21" s="1"/>
  <c r="J67" i="21" s="1"/>
  <c r="D4" i="16"/>
  <c r="D8" i="16" s="1"/>
  <c r="D14" i="16" s="1"/>
  <c r="J54" i="19"/>
  <c r="J18" i="19"/>
  <c r="D42" i="18"/>
  <c r="J27" i="19"/>
  <c r="J69" i="19" s="1"/>
  <c r="C83" i="18"/>
  <c r="L21" i="16"/>
  <c r="B65" i="17"/>
  <c r="E32" i="17"/>
  <c r="G32" i="17" s="1"/>
  <c r="H32" i="17" s="1"/>
  <c r="C62" i="17" s="1"/>
  <c r="E62" i="17" s="1"/>
  <c r="C33" i="17"/>
  <c r="H21" i="16"/>
  <c r="H22" i="16"/>
  <c r="H18" i="16"/>
  <c r="I16" i="15"/>
  <c r="I15" i="15"/>
  <c r="I14" i="15"/>
  <c r="C91" i="15"/>
  <c r="H16" i="15"/>
  <c r="H15" i="15"/>
  <c r="G15" i="15"/>
  <c r="F15" i="15"/>
  <c r="E15" i="15"/>
  <c r="H14" i="15"/>
  <c r="G14" i="15"/>
  <c r="F14" i="15"/>
  <c r="E14" i="15"/>
  <c r="D14" i="15"/>
  <c r="C14" i="15"/>
  <c r="D89" i="10"/>
  <c r="D87" i="10"/>
  <c r="H81" i="13"/>
  <c r="H43" i="13"/>
  <c r="D89" i="9"/>
  <c r="D87" i="9"/>
  <c r="H16" i="13"/>
  <c r="H15" i="13"/>
  <c r="H14" i="13"/>
  <c r="C91" i="13"/>
  <c r="G15" i="13"/>
  <c r="F15" i="13"/>
  <c r="E15" i="13"/>
  <c r="G14" i="13"/>
  <c r="F14" i="13"/>
  <c r="E14" i="13"/>
  <c r="D14" i="13"/>
  <c r="C14" i="13"/>
  <c r="C74" i="27" l="1"/>
  <c r="C72" i="27"/>
  <c r="I63" i="17"/>
  <c r="H63" i="17"/>
  <c r="K17" i="37"/>
  <c r="H36" i="37"/>
  <c r="H46" i="18"/>
  <c r="H47" i="18" s="1"/>
  <c r="L46" i="18" s="1"/>
  <c r="C100" i="18" s="1"/>
  <c r="I35" i="20"/>
  <c r="J41" i="20" s="1"/>
  <c r="L41" i="20" s="1"/>
  <c r="H36" i="32"/>
  <c r="K17" i="32"/>
  <c r="J41" i="35" s="1"/>
  <c r="H37" i="29"/>
  <c r="L18" i="29"/>
  <c r="J41" i="32" s="1"/>
  <c r="L96" i="23"/>
  <c r="L98" i="33"/>
  <c r="L101" i="38"/>
  <c r="L174" i="38" s="1"/>
  <c r="L96" i="28"/>
  <c r="L96" i="25"/>
  <c r="H53" i="24"/>
  <c r="L96" i="30"/>
  <c r="L98" i="36"/>
  <c r="E97" i="22"/>
  <c r="B35" i="17"/>
  <c r="F34" i="17"/>
  <c r="F64" i="17" s="1"/>
  <c r="G64" i="17" s="1"/>
  <c r="H36" i="35"/>
  <c r="K17" i="35"/>
  <c r="I36" i="20"/>
  <c r="L36" i="20"/>
  <c r="E97" i="20"/>
  <c r="K101" i="38" s="1"/>
  <c r="K174" i="38" s="1"/>
  <c r="L106" i="36"/>
  <c r="L109" i="38"/>
  <c r="J109" i="38"/>
  <c r="J106" i="36"/>
  <c r="J148" i="38"/>
  <c r="J73" i="36"/>
  <c r="J22" i="38"/>
  <c r="J62" i="38"/>
  <c r="J26" i="36"/>
  <c r="J30" i="36" s="1"/>
  <c r="J104" i="36"/>
  <c r="H36" i="20"/>
  <c r="L106" i="33"/>
  <c r="L104" i="30"/>
  <c r="I29" i="31"/>
  <c r="H29" i="31"/>
  <c r="J60" i="30"/>
  <c r="J63" i="30" s="1"/>
  <c r="J67" i="30" s="1"/>
  <c r="J71" i="30" s="1"/>
  <c r="J106" i="33"/>
  <c r="J104" i="30"/>
  <c r="J62" i="33"/>
  <c r="J65" i="33" s="1"/>
  <c r="J69" i="33" s="1"/>
  <c r="J73" i="33" s="1"/>
  <c r="J22" i="33"/>
  <c r="J25" i="30"/>
  <c r="J29" i="30" s="1"/>
  <c r="J102" i="30"/>
  <c r="J104" i="28"/>
  <c r="J104" i="23"/>
  <c r="J104" i="25"/>
  <c r="C92" i="20"/>
  <c r="K143" i="38" s="1"/>
  <c r="K144" i="38" s="1"/>
  <c r="C97" i="18"/>
  <c r="K18" i="24"/>
  <c r="H36" i="24"/>
  <c r="H35" i="27"/>
  <c r="K18" i="27"/>
  <c r="J42" i="29" s="1"/>
  <c r="K18" i="22"/>
  <c r="I35" i="24" s="1"/>
  <c r="J41" i="24" s="1"/>
  <c r="L41" i="24" s="1"/>
  <c r="H36" i="22"/>
  <c r="L104" i="28"/>
  <c r="L104" i="25"/>
  <c r="L104" i="23"/>
  <c r="J71" i="25"/>
  <c r="L53" i="22"/>
  <c r="H55" i="22"/>
  <c r="J60" i="28"/>
  <c r="J63" i="28" s="1"/>
  <c r="J67" i="28" s="1"/>
  <c r="J71" i="28" s="1"/>
  <c r="J21" i="28"/>
  <c r="J102" i="25"/>
  <c r="J25" i="25"/>
  <c r="J29" i="25" s="1"/>
  <c r="J71" i="21"/>
  <c r="J29" i="21"/>
  <c r="J21" i="23"/>
  <c r="J60" i="23"/>
  <c r="J63" i="23" s="1"/>
  <c r="J67" i="23" s="1"/>
  <c r="J71" i="23" s="1"/>
  <c r="J60" i="19"/>
  <c r="J63" i="19" s="1"/>
  <c r="J67" i="19" s="1"/>
  <c r="J71" i="19" s="1"/>
  <c r="J21" i="19"/>
  <c r="J25" i="19" s="1"/>
  <c r="J29" i="19" s="1"/>
  <c r="C85" i="18"/>
  <c r="L17" i="16"/>
  <c r="L18" i="16" s="1"/>
  <c r="B66" i="17"/>
  <c r="C34" i="17"/>
  <c r="E33" i="17"/>
  <c r="G33" i="17" s="1"/>
  <c r="H33" i="17" s="1"/>
  <c r="C63" i="17" s="1"/>
  <c r="E63" i="17" s="1"/>
  <c r="H23" i="16"/>
  <c r="L22" i="16" s="1"/>
  <c r="L23" i="16" s="1"/>
  <c r="D17" i="16"/>
  <c r="G15" i="12"/>
  <c r="G14" i="12"/>
  <c r="C89" i="12"/>
  <c r="F15" i="12"/>
  <c r="E15" i="12"/>
  <c r="F14" i="12"/>
  <c r="E14" i="12"/>
  <c r="D14" i="12"/>
  <c r="C14" i="12"/>
  <c r="K96" i="30" l="1"/>
  <c r="K98" i="33"/>
  <c r="L47" i="18"/>
  <c r="H35" i="20"/>
  <c r="L35" i="20" s="1"/>
  <c r="I35" i="32"/>
  <c r="L41" i="32"/>
  <c r="K36" i="37"/>
  <c r="I31" i="37"/>
  <c r="I36" i="37"/>
  <c r="J42" i="37"/>
  <c r="L42" i="37" s="1"/>
  <c r="I35" i="35"/>
  <c r="L41" i="35"/>
  <c r="K36" i="35"/>
  <c r="I36" i="35"/>
  <c r="J42" i="35"/>
  <c r="L42" i="35" s="1"/>
  <c r="J41" i="37"/>
  <c r="I36" i="32"/>
  <c r="K36" i="32"/>
  <c r="J42" i="32"/>
  <c r="L42" i="32" s="1"/>
  <c r="L43" i="32" s="1"/>
  <c r="L44" i="32" s="1"/>
  <c r="K35" i="32" s="1"/>
  <c r="I36" i="29"/>
  <c r="L42" i="29"/>
  <c r="L36" i="37"/>
  <c r="C107" i="37" s="1"/>
  <c r="L36" i="32"/>
  <c r="K96" i="28"/>
  <c r="L53" i="24"/>
  <c r="H55" i="24"/>
  <c r="I64" i="17"/>
  <c r="H64" i="17"/>
  <c r="I37" i="29"/>
  <c r="K37" i="29"/>
  <c r="L37" i="29"/>
  <c r="J43" i="29"/>
  <c r="L43" i="29" s="1"/>
  <c r="L36" i="35"/>
  <c r="B36" i="17"/>
  <c r="F35" i="17"/>
  <c r="F65" i="17" s="1"/>
  <c r="G65" i="17" s="1"/>
  <c r="K35" i="27"/>
  <c r="I35" i="27"/>
  <c r="J41" i="27" s="1"/>
  <c r="L41" i="27" s="1"/>
  <c r="K36" i="24"/>
  <c r="I34" i="27" s="1"/>
  <c r="J40" i="27" s="1"/>
  <c r="L40" i="27" s="1"/>
  <c r="I36" i="24"/>
  <c r="J42" i="24" s="1"/>
  <c r="L42" i="24" s="1"/>
  <c r="L43" i="24" s="1"/>
  <c r="L44" i="24" s="1"/>
  <c r="I36" i="22"/>
  <c r="J42" i="22" s="1"/>
  <c r="L42" i="22" s="1"/>
  <c r="K36" i="22"/>
  <c r="K96" i="23"/>
  <c r="K96" i="25"/>
  <c r="K98" i="36"/>
  <c r="K96" i="21"/>
  <c r="K36" i="20"/>
  <c r="I35" i="22" s="1"/>
  <c r="J41" i="22" s="1"/>
  <c r="L41" i="22" s="1"/>
  <c r="J42" i="20"/>
  <c r="J108" i="36"/>
  <c r="E122" i="37"/>
  <c r="K148" i="38"/>
  <c r="J65" i="38"/>
  <c r="J69" i="38" s="1"/>
  <c r="J73" i="38" s="1"/>
  <c r="J26" i="38"/>
  <c r="J30" i="38" s="1"/>
  <c r="J107" i="38"/>
  <c r="J111" i="38" s="1"/>
  <c r="J76" i="38" s="1"/>
  <c r="J94" i="36"/>
  <c r="J101" i="36" s="1"/>
  <c r="J97" i="38"/>
  <c r="H37" i="20"/>
  <c r="F83" i="18"/>
  <c r="F85" i="18" s="1"/>
  <c r="I95" i="18" s="1"/>
  <c r="F81" i="18"/>
  <c r="J106" i="30"/>
  <c r="J106" i="25"/>
  <c r="J94" i="33"/>
  <c r="J101" i="33" s="1"/>
  <c r="J92" i="30"/>
  <c r="J99" i="30" s="1"/>
  <c r="J26" i="33"/>
  <c r="J30" i="33" s="1"/>
  <c r="J104" i="33"/>
  <c r="J108" i="33" s="1"/>
  <c r="C93" i="20"/>
  <c r="C92" i="22"/>
  <c r="L143" i="38" s="1"/>
  <c r="L144" i="38" s="1"/>
  <c r="L36" i="22"/>
  <c r="L35" i="27"/>
  <c r="J92" i="19"/>
  <c r="J99" i="19" s="1"/>
  <c r="D111" i="18" s="1"/>
  <c r="J92" i="28"/>
  <c r="J99" i="28" s="1"/>
  <c r="J92" i="25"/>
  <c r="J99" i="25" s="1"/>
  <c r="J92" i="23"/>
  <c r="J99" i="23" s="1"/>
  <c r="J92" i="21"/>
  <c r="J99" i="21" s="1"/>
  <c r="L36" i="24"/>
  <c r="H35" i="22"/>
  <c r="C96" i="20"/>
  <c r="L55" i="22"/>
  <c r="D53" i="22"/>
  <c r="D64" i="22" s="1"/>
  <c r="D66" i="22" s="1"/>
  <c r="J25" i="28"/>
  <c r="J29" i="28" s="1"/>
  <c r="J102" i="28"/>
  <c r="J106" i="28" s="1"/>
  <c r="J25" i="23"/>
  <c r="J29" i="23" s="1"/>
  <c r="J102" i="23"/>
  <c r="J106" i="23" s="1"/>
  <c r="B67" i="17"/>
  <c r="C35" i="17"/>
  <c r="E34" i="17"/>
  <c r="G34" i="17" s="1"/>
  <c r="H34" i="17" s="1"/>
  <c r="C64" i="17" s="1"/>
  <c r="E64" i="17" s="1"/>
  <c r="D21" i="16"/>
  <c r="C83" i="11"/>
  <c r="F15" i="11"/>
  <c r="E15" i="11"/>
  <c r="F14" i="11"/>
  <c r="E14" i="11"/>
  <c r="D14" i="11"/>
  <c r="C14" i="11"/>
  <c r="H26" i="32" l="1"/>
  <c r="L26" i="32"/>
  <c r="L44" i="29"/>
  <c r="L45" i="29" s="1"/>
  <c r="K36" i="29" s="1"/>
  <c r="I30" i="37"/>
  <c r="I35" i="37"/>
  <c r="L41" i="37"/>
  <c r="L43" i="37" s="1"/>
  <c r="L44" i="37" s="1"/>
  <c r="K35" i="37" s="1"/>
  <c r="L43" i="35"/>
  <c r="L44" i="35" s="1"/>
  <c r="K35" i="35" s="1"/>
  <c r="C109" i="29"/>
  <c r="H35" i="32"/>
  <c r="H37" i="32" s="1"/>
  <c r="L42" i="27"/>
  <c r="L43" i="27" s="1"/>
  <c r="H26" i="27" s="1"/>
  <c r="I65" i="17"/>
  <c r="H65" i="17"/>
  <c r="B37" i="17"/>
  <c r="F37" i="17" s="1"/>
  <c r="F67" i="17" s="1"/>
  <c r="G67" i="17" s="1"/>
  <c r="F36" i="17"/>
  <c r="F66" i="17" s="1"/>
  <c r="G66" i="17" s="1"/>
  <c r="L27" i="29"/>
  <c r="H27" i="29"/>
  <c r="C111" i="37"/>
  <c r="R150" i="38"/>
  <c r="E187" i="38" s="1"/>
  <c r="E194" i="38" s="1"/>
  <c r="R97" i="38"/>
  <c r="R104" i="38" s="1"/>
  <c r="C53" i="24"/>
  <c r="C65" i="24" s="1"/>
  <c r="L55" i="24"/>
  <c r="C107" i="32"/>
  <c r="H35" i="35"/>
  <c r="H35" i="37"/>
  <c r="C106" i="35"/>
  <c r="L43" i="22"/>
  <c r="L44" i="22" s="1"/>
  <c r="L26" i="22" s="1"/>
  <c r="L42" i="20"/>
  <c r="L43" i="20" s="1"/>
  <c r="L44" i="20" s="1"/>
  <c r="K35" i="20" s="1"/>
  <c r="L26" i="24"/>
  <c r="H26" i="24"/>
  <c r="K35" i="24"/>
  <c r="L148" i="38"/>
  <c r="J104" i="38"/>
  <c r="J150" i="38"/>
  <c r="K94" i="36"/>
  <c r="K101" i="36" s="1"/>
  <c r="K110" i="36" s="1"/>
  <c r="K97" i="38"/>
  <c r="L94" i="36"/>
  <c r="L101" i="36" s="1"/>
  <c r="L97" i="38"/>
  <c r="L94" i="33"/>
  <c r="L101" i="33" s="1"/>
  <c r="L92" i="30"/>
  <c r="L99" i="30" s="1"/>
  <c r="K94" i="33"/>
  <c r="K101" i="33" s="1"/>
  <c r="K92" i="30"/>
  <c r="K99" i="30" s="1"/>
  <c r="C108" i="27"/>
  <c r="N97" i="38" s="1"/>
  <c r="H36" i="29"/>
  <c r="C106" i="24"/>
  <c r="H34" i="27"/>
  <c r="C94" i="22"/>
  <c r="C100" i="24"/>
  <c r="M143" i="38" s="1"/>
  <c r="M144" i="38" s="1"/>
  <c r="L92" i="28"/>
  <c r="L99" i="28" s="1"/>
  <c r="H35" i="24"/>
  <c r="L92" i="23"/>
  <c r="L99" i="23" s="1"/>
  <c r="D107" i="22" s="1"/>
  <c r="L92" i="25"/>
  <c r="L99" i="25" s="1"/>
  <c r="C96" i="22"/>
  <c r="K92" i="21"/>
  <c r="K99" i="21" s="1"/>
  <c r="K92" i="28"/>
  <c r="K99" i="28" s="1"/>
  <c r="K92" i="25"/>
  <c r="K99" i="25" s="1"/>
  <c r="K92" i="23"/>
  <c r="K99" i="23" s="1"/>
  <c r="H37" i="22"/>
  <c r="L35" i="22"/>
  <c r="D26" i="20"/>
  <c r="L37" i="20"/>
  <c r="C36" i="17"/>
  <c r="E35" i="17"/>
  <c r="G35" i="17" s="1"/>
  <c r="H35" i="17" s="1"/>
  <c r="C55" i="16"/>
  <c r="H51" i="16" s="1"/>
  <c r="G14" i="11"/>
  <c r="G15" i="11"/>
  <c r="D86" i="7"/>
  <c r="D85" i="7"/>
  <c r="L26" i="35" l="1"/>
  <c r="H26" i="35"/>
  <c r="L26" i="37"/>
  <c r="H26" i="37"/>
  <c r="C73" i="24"/>
  <c r="C71" i="24"/>
  <c r="K34" i="27"/>
  <c r="L35" i="32"/>
  <c r="C26" i="32" s="1"/>
  <c r="I67" i="17"/>
  <c r="H67" i="17"/>
  <c r="I66" i="17"/>
  <c r="H66" i="17"/>
  <c r="H37" i="37"/>
  <c r="L35" i="37"/>
  <c r="H37" i="35"/>
  <c r="L35" i="35"/>
  <c r="P97" i="38"/>
  <c r="P94" i="36"/>
  <c r="P94" i="33"/>
  <c r="C111" i="32"/>
  <c r="H26" i="22"/>
  <c r="R154" i="38"/>
  <c r="K35" i="22"/>
  <c r="L26" i="27"/>
  <c r="Q97" i="38"/>
  <c r="Q94" i="36"/>
  <c r="C110" i="35"/>
  <c r="O97" i="38"/>
  <c r="O94" i="33"/>
  <c r="O94" i="36"/>
  <c r="C113" i="29"/>
  <c r="O92" i="30"/>
  <c r="H26" i="20"/>
  <c r="L26" i="20"/>
  <c r="L110" i="36"/>
  <c r="M148" i="38"/>
  <c r="K104" i="38"/>
  <c r="K113" i="38" s="1"/>
  <c r="K150" i="38"/>
  <c r="N104" i="38"/>
  <c r="N150" i="38"/>
  <c r="J154" i="38"/>
  <c r="L104" i="38"/>
  <c r="L150" i="38"/>
  <c r="K10" i="36"/>
  <c r="K12" i="36" s="1"/>
  <c r="K10" i="38"/>
  <c r="M94" i="36"/>
  <c r="M101" i="36" s="1"/>
  <c r="M110" i="36" s="1"/>
  <c r="M97" i="38"/>
  <c r="N92" i="28"/>
  <c r="N94" i="36"/>
  <c r="N101" i="36" s="1"/>
  <c r="C112" i="27"/>
  <c r="L108" i="30"/>
  <c r="K108" i="30"/>
  <c r="K10" i="33"/>
  <c r="K10" i="30"/>
  <c r="L110" i="33"/>
  <c r="K110" i="33"/>
  <c r="M94" i="33"/>
  <c r="M101" i="33" s="1"/>
  <c r="M110" i="33" s="1"/>
  <c r="M92" i="30"/>
  <c r="N92" i="30"/>
  <c r="N94" i="33"/>
  <c r="H38" i="29"/>
  <c r="L36" i="29"/>
  <c r="C100" i="27"/>
  <c r="C102" i="24"/>
  <c r="H37" i="24"/>
  <c r="L35" i="24"/>
  <c r="H36" i="27"/>
  <c r="L34" i="27"/>
  <c r="M92" i="28"/>
  <c r="M92" i="25"/>
  <c r="M99" i="25" s="1"/>
  <c r="L108" i="28"/>
  <c r="K108" i="28"/>
  <c r="D107" i="20"/>
  <c r="D109" i="20"/>
  <c r="K10" i="28"/>
  <c r="K10" i="25"/>
  <c r="K10" i="23"/>
  <c r="K10" i="21"/>
  <c r="D28" i="20"/>
  <c r="D34" i="20" s="1"/>
  <c r="L37" i="22"/>
  <c r="D26" i="22"/>
  <c r="K108" i="25"/>
  <c r="L108" i="25"/>
  <c r="D109" i="22"/>
  <c r="K108" i="23"/>
  <c r="L108" i="23"/>
  <c r="C65" i="17"/>
  <c r="E65" i="17" s="1"/>
  <c r="C37" i="17"/>
  <c r="E37" i="17" s="1"/>
  <c r="G37" i="17" s="1"/>
  <c r="H37" i="17" s="1"/>
  <c r="C67" i="17" s="1"/>
  <c r="E67" i="17" s="1"/>
  <c r="E36" i="17"/>
  <c r="G36" i="17" s="1"/>
  <c r="H53" i="16"/>
  <c r="H55" i="16" s="1"/>
  <c r="C49" i="10"/>
  <c r="L6" i="10"/>
  <c r="L4" i="10"/>
  <c r="L27" i="10" s="1"/>
  <c r="H6" i="10"/>
  <c r="D15" i="10" s="1"/>
  <c r="H4" i="10"/>
  <c r="C49" i="9"/>
  <c r="L6" i="9"/>
  <c r="L4" i="9"/>
  <c r="L27" i="9" s="1"/>
  <c r="H6" i="9"/>
  <c r="H4" i="9"/>
  <c r="C48" i="8"/>
  <c r="L6" i="8"/>
  <c r="L4" i="8"/>
  <c r="L29" i="8" s="1"/>
  <c r="C75" i="8" s="1"/>
  <c r="G99" i="38" s="1"/>
  <c r="H6" i="8"/>
  <c r="H24" i="8" s="1"/>
  <c r="H34" i="8" s="1"/>
  <c r="H4" i="8"/>
  <c r="L6" i="7"/>
  <c r="L4" i="7"/>
  <c r="L27" i="7" s="1"/>
  <c r="H6" i="7"/>
  <c r="H4" i="7"/>
  <c r="L6" i="6"/>
  <c r="L4" i="6"/>
  <c r="H6" i="6"/>
  <c r="H4" i="6"/>
  <c r="L6" i="5"/>
  <c r="L4" i="5"/>
  <c r="H6" i="5"/>
  <c r="H4" i="5"/>
  <c r="H6" i="2"/>
  <c r="D6" i="2" s="1"/>
  <c r="H4" i="2"/>
  <c r="D4" i="2" s="1"/>
  <c r="D33" i="10"/>
  <c r="D34" i="6"/>
  <c r="D33" i="7"/>
  <c r="D32" i="8"/>
  <c r="D33" i="9"/>
  <c r="D34" i="10"/>
  <c r="D32" i="10"/>
  <c r="J6" i="10"/>
  <c r="E10" i="17" s="1"/>
  <c r="E12" i="17" s="1"/>
  <c r="F6" i="10"/>
  <c r="D34" i="9"/>
  <c r="D32" i="9"/>
  <c r="J6" i="9"/>
  <c r="D10" i="17" s="1"/>
  <c r="D12" i="17" s="1"/>
  <c r="F6" i="9"/>
  <c r="D31" i="8"/>
  <c r="J6" i="8"/>
  <c r="F6" i="8"/>
  <c r="F6" i="2"/>
  <c r="C8" i="38" l="1"/>
  <c r="C8" i="25"/>
  <c r="C10" i="38"/>
  <c r="C10" i="25"/>
  <c r="L37" i="32"/>
  <c r="N101" i="33"/>
  <c r="N110" i="33" s="1"/>
  <c r="C139" i="33"/>
  <c r="C146" i="33" s="1"/>
  <c r="O101" i="36"/>
  <c r="O110" i="36" s="1"/>
  <c r="C139" i="36"/>
  <c r="C146" i="36" s="1"/>
  <c r="O101" i="33"/>
  <c r="D139" i="33"/>
  <c r="D146" i="33" s="1"/>
  <c r="P101" i="36"/>
  <c r="D139" i="36"/>
  <c r="D146" i="36" s="1"/>
  <c r="Q101" i="36"/>
  <c r="E139" i="36"/>
  <c r="E146" i="36" s="1"/>
  <c r="P101" i="33"/>
  <c r="P110" i="33" s="1"/>
  <c r="E139" i="33"/>
  <c r="E146" i="33" s="1"/>
  <c r="O104" i="38"/>
  <c r="O113" i="38" s="1"/>
  <c r="O150" i="38"/>
  <c r="O99" i="30"/>
  <c r="C123" i="29" s="1"/>
  <c r="E141" i="30"/>
  <c r="E148" i="30" s="1"/>
  <c r="L37" i="35"/>
  <c r="C26" i="35"/>
  <c r="P10" i="36"/>
  <c r="P10" i="38"/>
  <c r="C28" i="32"/>
  <c r="C35" i="32" s="1"/>
  <c r="P10" i="33"/>
  <c r="M99" i="28"/>
  <c r="M108" i="28" s="1"/>
  <c r="C141" i="28"/>
  <c r="C148" i="28" s="1"/>
  <c r="M99" i="30"/>
  <c r="M108" i="30" s="1"/>
  <c r="C141" i="30"/>
  <c r="C148" i="30" s="1"/>
  <c r="Q104" i="38"/>
  <c r="Q150" i="38"/>
  <c r="D187" i="38" s="1"/>
  <c r="D194" i="38" s="1"/>
  <c r="P104" i="38"/>
  <c r="P150" i="38"/>
  <c r="C187" i="38" s="1"/>
  <c r="C194" i="38" s="1"/>
  <c r="N99" i="30"/>
  <c r="D141" i="30"/>
  <c r="D148" i="30" s="1"/>
  <c r="C26" i="37"/>
  <c r="L37" i="37"/>
  <c r="N99" i="28"/>
  <c r="C122" i="27" s="1"/>
  <c r="D141" i="28"/>
  <c r="D148" i="28" s="1"/>
  <c r="L15" i="10"/>
  <c r="L20" i="10" s="1"/>
  <c r="L34" i="8"/>
  <c r="E78" i="8" s="1"/>
  <c r="G101" i="38" s="1"/>
  <c r="L15" i="9"/>
  <c r="L113" i="38"/>
  <c r="C101" i="29"/>
  <c r="C100" i="32" s="1"/>
  <c r="N143" i="38"/>
  <c r="N144" i="38" s="1"/>
  <c r="G151" i="38"/>
  <c r="N154" i="38"/>
  <c r="M104" i="38"/>
  <c r="N113" i="38" s="1"/>
  <c r="M150" i="38"/>
  <c r="K154" i="38"/>
  <c r="L154" i="38"/>
  <c r="K53" i="36"/>
  <c r="L10" i="36"/>
  <c r="L53" i="36" s="1"/>
  <c r="L10" i="38"/>
  <c r="K53" i="38"/>
  <c r="K12" i="38"/>
  <c r="C51" i="38"/>
  <c r="C12" i="38"/>
  <c r="C57" i="38"/>
  <c r="C53" i="38"/>
  <c r="N110" i="36"/>
  <c r="K55" i="36"/>
  <c r="K19" i="36"/>
  <c r="C8" i="33"/>
  <c r="C51" i="33" s="1"/>
  <c r="C8" i="36"/>
  <c r="C10" i="33"/>
  <c r="C10" i="36"/>
  <c r="G96" i="33"/>
  <c r="G96" i="36"/>
  <c r="L10" i="33"/>
  <c r="L10" i="30"/>
  <c r="K52" i="30"/>
  <c r="K12" i="30"/>
  <c r="K12" i="33"/>
  <c r="K53" i="33"/>
  <c r="L38" i="29"/>
  <c r="C27" i="29"/>
  <c r="O10" i="38" s="1"/>
  <c r="C102" i="27"/>
  <c r="C106" i="27" s="1"/>
  <c r="C8" i="28"/>
  <c r="C8" i="30"/>
  <c r="G94" i="28"/>
  <c r="G94" i="30"/>
  <c r="C10" i="28"/>
  <c r="C10" i="30"/>
  <c r="L37" i="24"/>
  <c r="C26" i="24"/>
  <c r="C119" i="24"/>
  <c r="C117" i="24"/>
  <c r="M108" i="25"/>
  <c r="L36" i="27"/>
  <c r="C26" i="27"/>
  <c r="K52" i="25"/>
  <c r="K12" i="25"/>
  <c r="K12" i="28"/>
  <c r="K52" i="28"/>
  <c r="L10" i="28"/>
  <c r="L10" i="25"/>
  <c r="D28" i="22"/>
  <c r="D34" i="22" s="1"/>
  <c r="L10" i="23"/>
  <c r="D38" i="20"/>
  <c r="D111" i="20"/>
  <c r="D114" i="20" s="1"/>
  <c r="K12" i="21"/>
  <c r="K52" i="21"/>
  <c r="K12" i="23"/>
  <c r="K52" i="23"/>
  <c r="H21" i="9"/>
  <c r="H32" i="9" s="1"/>
  <c r="G94" i="23"/>
  <c r="G94" i="25"/>
  <c r="C10" i="23"/>
  <c r="C8" i="23"/>
  <c r="C10" i="19"/>
  <c r="C10" i="21"/>
  <c r="C8" i="19"/>
  <c r="C56" i="19" s="1"/>
  <c r="C8" i="21"/>
  <c r="G94" i="19"/>
  <c r="G94" i="21"/>
  <c r="L47" i="20"/>
  <c r="H49" i="20"/>
  <c r="D4" i="9"/>
  <c r="H8" i="38" s="1"/>
  <c r="C67" i="10"/>
  <c r="I99" i="38" s="1"/>
  <c r="H51" i="18"/>
  <c r="L51" i="18" s="1"/>
  <c r="H36" i="17"/>
  <c r="C66" i="17" s="1"/>
  <c r="E66" i="17" s="1"/>
  <c r="C10" i="15"/>
  <c r="C8" i="15"/>
  <c r="G86" i="15"/>
  <c r="C67" i="9"/>
  <c r="H26" i="10"/>
  <c r="C8" i="13"/>
  <c r="C52" i="13" s="1"/>
  <c r="C10" i="13"/>
  <c r="H21" i="10"/>
  <c r="H32" i="10" s="1"/>
  <c r="G84" i="12"/>
  <c r="G86" i="13"/>
  <c r="L18" i="8"/>
  <c r="C10" i="12"/>
  <c r="C10" i="11"/>
  <c r="C8" i="12"/>
  <c r="C8" i="11"/>
  <c r="D4" i="10"/>
  <c r="I8" i="38" s="1"/>
  <c r="H26" i="9"/>
  <c r="D4" i="8"/>
  <c r="G8" i="38" s="1"/>
  <c r="H31" i="9"/>
  <c r="M14" i="8"/>
  <c r="D14" i="8" s="1"/>
  <c r="G20" i="38" s="1"/>
  <c r="D6" i="10"/>
  <c r="I10" i="38" s="1"/>
  <c r="D6" i="9"/>
  <c r="H10" i="38" s="1"/>
  <c r="D6" i="8"/>
  <c r="G10" i="38" s="1"/>
  <c r="D32" i="7"/>
  <c r="H20" i="7"/>
  <c r="H32" i="7" s="1"/>
  <c r="J6" i="7"/>
  <c r="F6" i="7"/>
  <c r="D4" i="7"/>
  <c r="F8" i="38" s="1"/>
  <c r="P110" i="36" l="1"/>
  <c r="C12" i="25"/>
  <c r="C18" i="25" s="1"/>
  <c r="C21" i="25" s="1"/>
  <c r="Q110" i="36"/>
  <c r="O110" i="33"/>
  <c r="C125" i="29"/>
  <c r="O108" i="30"/>
  <c r="N108" i="30"/>
  <c r="P113" i="38"/>
  <c r="P107" i="38"/>
  <c r="P111" i="38" s="1"/>
  <c r="P76" i="38" s="1"/>
  <c r="C121" i="32"/>
  <c r="C124" i="32" s="1"/>
  <c r="P104" i="33"/>
  <c r="P108" i="33" s="1"/>
  <c r="P112" i="33" s="1"/>
  <c r="P104" i="36"/>
  <c r="P108" i="36" s="1"/>
  <c r="P112" i="36" s="1"/>
  <c r="C39" i="32"/>
  <c r="Q10" i="38"/>
  <c r="C28" i="35"/>
  <c r="C35" i="35" s="1"/>
  <c r="Q10" i="36"/>
  <c r="N108" i="28"/>
  <c r="P53" i="38"/>
  <c r="P12" i="38"/>
  <c r="P12" i="36"/>
  <c r="P53" i="36"/>
  <c r="C28" i="37"/>
  <c r="C35" i="37" s="1"/>
  <c r="R10" i="38"/>
  <c r="P154" i="38"/>
  <c r="O154" i="38"/>
  <c r="Q154" i="38"/>
  <c r="C124" i="27"/>
  <c r="Q113" i="38"/>
  <c r="R113" i="38"/>
  <c r="P12" i="33"/>
  <c r="P53" i="33"/>
  <c r="G53" i="38"/>
  <c r="G63" i="38"/>
  <c r="L32" i="7"/>
  <c r="H33" i="8" s="1"/>
  <c r="L33" i="8" s="1"/>
  <c r="L35" i="8" s="1"/>
  <c r="L32" i="10"/>
  <c r="E70" i="10" s="1"/>
  <c r="I101" i="38" s="1"/>
  <c r="L12" i="36"/>
  <c r="L55" i="36" s="1"/>
  <c r="L32" i="9"/>
  <c r="E70" i="9" s="1"/>
  <c r="C103" i="29"/>
  <c r="C107" i="29" s="1"/>
  <c r="P143" i="38"/>
  <c r="P144" i="38" s="1"/>
  <c r="C101" i="32"/>
  <c r="C105" i="32" s="1"/>
  <c r="C99" i="35"/>
  <c r="Q143" i="38" s="1"/>
  <c r="Q144" i="38" s="1"/>
  <c r="O143" i="38"/>
  <c r="O144" i="38" s="1"/>
  <c r="N148" i="38"/>
  <c r="I151" i="38"/>
  <c r="G174" i="38"/>
  <c r="M154" i="38"/>
  <c r="H53" i="38"/>
  <c r="M113" i="38"/>
  <c r="I12" i="38"/>
  <c r="I51" i="38"/>
  <c r="I58" i="38"/>
  <c r="I57" i="38"/>
  <c r="I59" i="38"/>
  <c r="N10" i="36"/>
  <c r="N53" i="36" s="1"/>
  <c r="N10" i="38"/>
  <c r="K55" i="38"/>
  <c r="K19" i="38"/>
  <c r="O53" i="38"/>
  <c r="O12" i="38"/>
  <c r="L53" i="38"/>
  <c r="L12" i="38"/>
  <c r="I53" i="38"/>
  <c r="M10" i="36"/>
  <c r="M53" i="36" s="1"/>
  <c r="M10" i="38"/>
  <c r="F51" i="38"/>
  <c r="F57" i="38"/>
  <c r="F58" i="38"/>
  <c r="H96" i="36"/>
  <c r="H99" i="38"/>
  <c r="H51" i="38"/>
  <c r="H12" i="38"/>
  <c r="H59" i="38"/>
  <c r="H58" i="38"/>
  <c r="H57" i="38"/>
  <c r="G12" i="38"/>
  <c r="G51" i="38"/>
  <c r="G57" i="38"/>
  <c r="G58" i="38"/>
  <c r="C55" i="38"/>
  <c r="C19" i="38"/>
  <c r="C53" i="36"/>
  <c r="F8" i="33"/>
  <c r="F51" i="33" s="1"/>
  <c r="F8" i="36"/>
  <c r="K22" i="36"/>
  <c r="K62" i="36"/>
  <c r="K65" i="36" s="1"/>
  <c r="K69" i="36" s="1"/>
  <c r="O10" i="33"/>
  <c r="O53" i="33" s="1"/>
  <c r="O10" i="36"/>
  <c r="I10" i="33"/>
  <c r="I10" i="36"/>
  <c r="H8" i="33"/>
  <c r="H58" i="33" s="1"/>
  <c r="H8" i="36"/>
  <c r="H10" i="33"/>
  <c r="H10" i="36"/>
  <c r="C53" i="33"/>
  <c r="C57" i="33"/>
  <c r="I96" i="33"/>
  <c r="I96" i="36"/>
  <c r="G20" i="33"/>
  <c r="G20" i="36"/>
  <c r="G98" i="33"/>
  <c r="G98" i="36"/>
  <c r="G8" i="33"/>
  <c r="G51" i="33" s="1"/>
  <c r="G8" i="36"/>
  <c r="C12" i="33"/>
  <c r="C55" i="33" s="1"/>
  <c r="I8" i="33"/>
  <c r="I8" i="36"/>
  <c r="G10" i="33"/>
  <c r="G10" i="36"/>
  <c r="C51" i="36"/>
  <c r="C12" i="36"/>
  <c r="C57" i="36"/>
  <c r="K19" i="33"/>
  <c r="K55" i="33"/>
  <c r="K18" i="30"/>
  <c r="K54" i="30"/>
  <c r="L52" i="30"/>
  <c r="L12" i="30"/>
  <c r="L12" i="33"/>
  <c r="L53" i="33"/>
  <c r="L14" i="7"/>
  <c r="L19" i="7" s="1"/>
  <c r="C50" i="19"/>
  <c r="M10" i="33"/>
  <c r="M10" i="30"/>
  <c r="N10" i="30"/>
  <c r="N52" i="30" s="1"/>
  <c r="N10" i="33"/>
  <c r="H94" i="30"/>
  <c r="H96" i="33"/>
  <c r="C52" i="28"/>
  <c r="C50" i="28"/>
  <c r="C56" i="28"/>
  <c r="C52" i="30"/>
  <c r="C12" i="28"/>
  <c r="C54" i="28" s="1"/>
  <c r="C29" i="29"/>
  <c r="C35" i="29" s="1"/>
  <c r="O107" i="38" s="1"/>
  <c r="O111" i="38" s="1"/>
  <c r="O76" i="38" s="1"/>
  <c r="O10" i="30"/>
  <c r="G8" i="28"/>
  <c r="G8" i="30"/>
  <c r="G96" i="28"/>
  <c r="G96" i="30"/>
  <c r="C52" i="23"/>
  <c r="I10" i="28"/>
  <c r="I10" i="30"/>
  <c r="I94" i="28"/>
  <c r="I94" i="30"/>
  <c r="G10" i="28"/>
  <c r="G10" i="30"/>
  <c r="H10" i="28"/>
  <c r="H10" i="30"/>
  <c r="G19" i="28"/>
  <c r="G19" i="30"/>
  <c r="H8" i="28"/>
  <c r="H50" i="28" s="1"/>
  <c r="H8" i="30"/>
  <c r="C12" i="30"/>
  <c r="C50" i="30"/>
  <c r="C56" i="30"/>
  <c r="I8" i="28"/>
  <c r="I58" i="28" s="1"/>
  <c r="I8" i="30"/>
  <c r="F8" i="28"/>
  <c r="F57" i="28" s="1"/>
  <c r="F8" i="30"/>
  <c r="H33" i="9"/>
  <c r="M10" i="28"/>
  <c r="C28" i="24"/>
  <c r="C34" i="24" s="1"/>
  <c r="M10" i="25"/>
  <c r="C28" i="27"/>
  <c r="C34" i="27" s="1"/>
  <c r="N107" i="38" s="1"/>
  <c r="N111" i="38" s="1"/>
  <c r="N76" i="38" s="1"/>
  <c r="N10" i="28"/>
  <c r="D38" i="22"/>
  <c r="D111" i="22"/>
  <c r="D114" i="22" s="1"/>
  <c r="D116" i="22" s="1"/>
  <c r="D121" i="22" s="1"/>
  <c r="D125" i="22" s="1"/>
  <c r="D131" i="22" s="1"/>
  <c r="L52" i="25"/>
  <c r="L12" i="25"/>
  <c r="K18" i="28"/>
  <c r="K54" i="28"/>
  <c r="K18" i="21"/>
  <c r="K54" i="21"/>
  <c r="L12" i="28"/>
  <c r="L52" i="28"/>
  <c r="K54" i="25"/>
  <c r="K18" i="25"/>
  <c r="K54" i="23"/>
  <c r="K18" i="23"/>
  <c r="C77" i="20"/>
  <c r="C79" i="20" s="1"/>
  <c r="C81" i="20" s="1"/>
  <c r="D40" i="20"/>
  <c r="K28" i="38" s="1"/>
  <c r="K71" i="38" s="1"/>
  <c r="L52" i="23"/>
  <c r="L12" i="23"/>
  <c r="C12" i="23"/>
  <c r="C54" i="23" s="1"/>
  <c r="H94" i="25"/>
  <c r="H94" i="28"/>
  <c r="C50" i="23"/>
  <c r="C50" i="25"/>
  <c r="C56" i="25"/>
  <c r="I94" i="23"/>
  <c r="I94" i="25"/>
  <c r="C52" i="25"/>
  <c r="I8" i="23"/>
  <c r="I8" i="25"/>
  <c r="I10" i="23"/>
  <c r="I10" i="25"/>
  <c r="H8" i="23"/>
  <c r="H56" i="23" s="1"/>
  <c r="H8" i="25"/>
  <c r="H10" i="23"/>
  <c r="H10" i="25"/>
  <c r="G19" i="23"/>
  <c r="G19" i="25"/>
  <c r="C56" i="23"/>
  <c r="F8" i="23"/>
  <c r="F50" i="23" s="1"/>
  <c r="F8" i="25"/>
  <c r="G96" i="23"/>
  <c r="G96" i="25"/>
  <c r="G10" i="23"/>
  <c r="G10" i="25"/>
  <c r="G8" i="23"/>
  <c r="G56" i="23" s="1"/>
  <c r="G8" i="25"/>
  <c r="C12" i="19"/>
  <c r="C18" i="19" s="1"/>
  <c r="H94" i="21"/>
  <c r="H94" i="23"/>
  <c r="C52" i="21"/>
  <c r="I8" i="19"/>
  <c r="I58" i="19" s="1"/>
  <c r="I8" i="21"/>
  <c r="F8" i="19"/>
  <c r="F56" i="19" s="1"/>
  <c r="F8" i="21"/>
  <c r="H10" i="19"/>
  <c r="H10" i="21"/>
  <c r="C12" i="21"/>
  <c r="C50" i="21"/>
  <c r="C56" i="21"/>
  <c r="G19" i="19"/>
  <c r="G19" i="21"/>
  <c r="I10" i="19"/>
  <c r="I10" i="21"/>
  <c r="G96" i="19"/>
  <c r="G96" i="21"/>
  <c r="I94" i="19"/>
  <c r="I94" i="21"/>
  <c r="G10" i="19"/>
  <c r="G10" i="21"/>
  <c r="G8" i="19"/>
  <c r="G8" i="21"/>
  <c r="C12" i="15"/>
  <c r="C18" i="15" s="1"/>
  <c r="H8" i="19"/>
  <c r="H8" i="21"/>
  <c r="C52" i="19"/>
  <c r="L53" i="20"/>
  <c r="H55" i="20"/>
  <c r="L49" i="20"/>
  <c r="D47" i="20"/>
  <c r="D50" i="20" s="1"/>
  <c r="H53" i="18"/>
  <c r="C46" i="13"/>
  <c r="I86" i="15"/>
  <c r="H86" i="13"/>
  <c r="H94" i="19"/>
  <c r="H86" i="15"/>
  <c r="L53" i="18"/>
  <c r="D51" i="18"/>
  <c r="D54" i="18" s="1"/>
  <c r="C52" i="15"/>
  <c r="C46" i="15"/>
  <c r="G8" i="15"/>
  <c r="G46" i="15" s="1"/>
  <c r="C48" i="15"/>
  <c r="G10" i="15"/>
  <c r="G19" i="15"/>
  <c r="F8" i="15"/>
  <c r="F46" i="15" s="1"/>
  <c r="G88" i="15"/>
  <c r="H27" i="10"/>
  <c r="H28" i="10" s="1"/>
  <c r="I8" i="15"/>
  <c r="D8" i="10"/>
  <c r="D14" i="10" s="1"/>
  <c r="D17" i="10" s="1"/>
  <c r="C51" i="10" s="1"/>
  <c r="C53" i="10" s="1"/>
  <c r="D19" i="10" s="1"/>
  <c r="I10" i="15"/>
  <c r="H28" i="16"/>
  <c r="L26" i="16"/>
  <c r="H27" i="9"/>
  <c r="H28" i="9" s="1"/>
  <c r="H8" i="15"/>
  <c r="H54" i="15" s="1"/>
  <c r="H8" i="13"/>
  <c r="H54" i="13" s="1"/>
  <c r="D8" i="9"/>
  <c r="D14" i="9" s="1"/>
  <c r="H10" i="13"/>
  <c r="H10" i="15"/>
  <c r="C48" i="13"/>
  <c r="C12" i="13"/>
  <c r="C18" i="13" s="1"/>
  <c r="F8" i="13"/>
  <c r="F46" i="13" s="1"/>
  <c r="G8" i="13"/>
  <c r="G52" i="13" s="1"/>
  <c r="G19" i="13"/>
  <c r="G86" i="12"/>
  <c r="G88" i="13"/>
  <c r="G10" i="12"/>
  <c r="G10" i="13"/>
  <c r="D112" i="8"/>
  <c r="G18" i="12"/>
  <c r="H29" i="8"/>
  <c r="G8" i="12"/>
  <c r="C42" i="11"/>
  <c r="C48" i="11"/>
  <c r="C12" i="11"/>
  <c r="C45" i="12"/>
  <c r="C12" i="12"/>
  <c r="C51" i="12"/>
  <c r="F8" i="12"/>
  <c r="F8" i="11"/>
  <c r="D8" i="8"/>
  <c r="D13" i="8" s="1"/>
  <c r="D16" i="8" s="1"/>
  <c r="D91" i="8" s="1"/>
  <c r="C44" i="11"/>
  <c r="C47" i="12"/>
  <c r="H27" i="7"/>
  <c r="C67" i="7"/>
  <c r="F99" i="38" s="1"/>
  <c r="H28" i="8"/>
  <c r="L20" i="9"/>
  <c r="H35" i="8"/>
  <c r="L23" i="8"/>
  <c r="D6" i="7"/>
  <c r="F10" i="38" s="1"/>
  <c r="F53" i="38" s="1"/>
  <c r="D4" i="6"/>
  <c r="E8" i="38" s="1"/>
  <c r="D33" i="6"/>
  <c r="H22" i="6"/>
  <c r="H23" i="6" s="1"/>
  <c r="H18" i="6"/>
  <c r="L28" i="6"/>
  <c r="J6" i="6"/>
  <c r="F6" i="6"/>
  <c r="J6" i="5"/>
  <c r="H23" i="5"/>
  <c r="L23" i="5" s="1"/>
  <c r="E45" i="5" s="1"/>
  <c r="D101" i="38" s="1"/>
  <c r="F6" i="5"/>
  <c r="L18" i="5"/>
  <c r="C43" i="5" s="1"/>
  <c r="D99" i="38" s="1"/>
  <c r="D4" i="5"/>
  <c r="D8" i="38" s="1"/>
  <c r="D23" i="5"/>
  <c r="D17" i="2"/>
  <c r="D27" i="2"/>
  <c r="D21" i="2"/>
  <c r="D30" i="8" l="1"/>
  <c r="E70" i="7"/>
  <c r="F101" i="38" s="1"/>
  <c r="F57" i="33"/>
  <c r="G58" i="33"/>
  <c r="G57" i="33"/>
  <c r="L31" i="9"/>
  <c r="L33" i="9" s="1"/>
  <c r="H31" i="10"/>
  <c r="H33" i="10" s="1"/>
  <c r="P19" i="36"/>
  <c r="P55" i="36"/>
  <c r="C41" i="32"/>
  <c r="C43" i="32" s="1"/>
  <c r="G126" i="32" s="1"/>
  <c r="G130" i="32" s="1"/>
  <c r="C86" i="32"/>
  <c r="C88" i="32" s="1"/>
  <c r="C90" i="32" s="1"/>
  <c r="Q53" i="38"/>
  <c r="Q12" i="38"/>
  <c r="P115" i="38"/>
  <c r="R107" i="38"/>
  <c r="R111" i="38" s="1"/>
  <c r="R76" i="38" s="1"/>
  <c r="C39" i="37"/>
  <c r="C121" i="37"/>
  <c r="C124" i="37" s="1"/>
  <c r="L31" i="10"/>
  <c r="D31" i="10" s="1"/>
  <c r="D38" i="10" s="1"/>
  <c r="P19" i="33"/>
  <c r="P55" i="33"/>
  <c r="Q12" i="36"/>
  <c r="Q53" i="36"/>
  <c r="P19" i="38"/>
  <c r="P55" i="38"/>
  <c r="R12" i="38"/>
  <c r="R53" i="38"/>
  <c r="Q107" i="38"/>
  <c r="Q111" i="38" s="1"/>
  <c r="Q76" i="38" s="1"/>
  <c r="C120" i="35"/>
  <c r="C123" i="35" s="1"/>
  <c r="Q104" i="36"/>
  <c r="Q108" i="36" s="1"/>
  <c r="Q112" i="36" s="1"/>
  <c r="C39" i="35"/>
  <c r="N12" i="36"/>
  <c r="N19" i="36" s="1"/>
  <c r="H57" i="18"/>
  <c r="L57" i="18" s="1"/>
  <c r="L59" i="18" s="1"/>
  <c r="I53" i="33"/>
  <c r="C19" i="33"/>
  <c r="C22" i="33" s="1"/>
  <c r="F58" i="33"/>
  <c r="L19" i="36"/>
  <c r="L62" i="36" s="1"/>
  <c r="L65" i="36" s="1"/>
  <c r="L69" i="36" s="1"/>
  <c r="I12" i="33"/>
  <c r="I55" i="33" s="1"/>
  <c r="H53" i="33"/>
  <c r="P148" i="38"/>
  <c r="C222" i="38" s="1"/>
  <c r="C99" i="37"/>
  <c r="R143" i="38" s="1"/>
  <c r="R144" i="38" s="1"/>
  <c r="O148" i="38"/>
  <c r="C100" i="35"/>
  <c r="C104" i="35" s="1"/>
  <c r="O12" i="33"/>
  <c r="O55" i="33" s="1"/>
  <c r="Q148" i="38"/>
  <c r="D222" i="38" s="1"/>
  <c r="F151" i="38"/>
  <c r="O115" i="38"/>
  <c r="I174" i="38"/>
  <c r="N115" i="38"/>
  <c r="F174" i="38"/>
  <c r="D174" i="38"/>
  <c r="H151" i="38"/>
  <c r="D104" i="38"/>
  <c r="D113" i="38" s="1"/>
  <c r="D151" i="38"/>
  <c r="M104" i="36"/>
  <c r="M108" i="36" s="1"/>
  <c r="M112" i="36" s="1"/>
  <c r="M107" i="38"/>
  <c r="M111" i="38" s="1"/>
  <c r="M76" i="38" s="1"/>
  <c r="N53" i="38"/>
  <c r="N12" i="38"/>
  <c r="G19" i="38"/>
  <c r="G55" i="38"/>
  <c r="E51" i="38"/>
  <c r="E57" i="38"/>
  <c r="E58" i="38"/>
  <c r="H98" i="36"/>
  <c r="H101" i="38"/>
  <c r="I58" i="33"/>
  <c r="L55" i="38"/>
  <c r="L19" i="38"/>
  <c r="M12" i="36"/>
  <c r="M19" i="36" s="1"/>
  <c r="C62" i="38"/>
  <c r="C22" i="38"/>
  <c r="F12" i="38"/>
  <c r="O19" i="38"/>
  <c r="O55" i="38"/>
  <c r="G63" i="36"/>
  <c r="H19" i="38"/>
  <c r="H55" i="38"/>
  <c r="D51" i="38"/>
  <c r="D57" i="38"/>
  <c r="G63" i="33"/>
  <c r="H12" i="33"/>
  <c r="H55" i="33" s="1"/>
  <c r="M53" i="38"/>
  <c r="M12" i="38"/>
  <c r="K62" i="38"/>
  <c r="K22" i="38"/>
  <c r="I19" i="38"/>
  <c r="I55" i="38"/>
  <c r="H57" i="33"/>
  <c r="H59" i="33"/>
  <c r="H51" i="33"/>
  <c r="G12" i="33"/>
  <c r="G55" i="33" s="1"/>
  <c r="H53" i="36"/>
  <c r="D96" i="33"/>
  <c r="D96" i="36"/>
  <c r="I98" i="33"/>
  <c r="I98" i="36"/>
  <c r="I12" i="36"/>
  <c r="I51" i="36"/>
  <c r="I57" i="36"/>
  <c r="I58" i="36"/>
  <c r="I59" i="36"/>
  <c r="E8" i="33"/>
  <c r="E58" i="33" s="1"/>
  <c r="E8" i="36"/>
  <c r="G53" i="33"/>
  <c r="H12" i="36"/>
  <c r="H51" i="36"/>
  <c r="H57" i="36"/>
  <c r="H59" i="36"/>
  <c r="H58" i="36"/>
  <c r="D98" i="33"/>
  <c r="D98" i="36"/>
  <c r="F10" i="33"/>
  <c r="F53" i="33" s="1"/>
  <c r="F10" i="36"/>
  <c r="F53" i="36" s="1"/>
  <c r="F96" i="33"/>
  <c r="F96" i="36"/>
  <c r="I59" i="33"/>
  <c r="K104" i="36"/>
  <c r="K108" i="36" s="1"/>
  <c r="K112" i="36" s="1"/>
  <c r="K26" i="36"/>
  <c r="I53" i="36"/>
  <c r="O104" i="33"/>
  <c r="O108" i="33" s="1"/>
  <c r="O112" i="33" s="1"/>
  <c r="O104" i="36"/>
  <c r="O108" i="36" s="1"/>
  <c r="O112" i="36" s="1"/>
  <c r="I57" i="33"/>
  <c r="C55" i="36"/>
  <c r="C19" i="36"/>
  <c r="K28" i="33"/>
  <c r="K71" i="33" s="1"/>
  <c r="K28" i="36"/>
  <c r="K71" i="36" s="1"/>
  <c r="K73" i="36" s="1"/>
  <c r="I51" i="33"/>
  <c r="G51" i="36"/>
  <c r="G12" i="36"/>
  <c r="G58" i="36"/>
  <c r="G57" i="36"/>
  <c r="O53" i="36"/>
  <c r="O12" i="36"/>
  <c r="F51" i="36"/>
  <c r="F57" i="36"/>
  <c r="F58" i="36"/>
  <c r="D8" i="33"/>
  <c r="D51" i="33" s="1"/>
  <c r="D8" i="36"/>
  <c r="F98" i="33"/>
  <c r="F98" i="36"/>
  <c r="N104" i="33"/>
  <c r="N108" i="33" s="1"/>
  <c r="N112" i="33" s="1"/>
  <c r="N104" i="36"/>
  <c r="N108" i="36" s="1"/>
  <c r="N112" i="36" s="1"/>
  <c r="G53" i="36"/>
  <c r="F79" i="20"/>
  <c r="F81" i="20" s="1"/>
  <c r="I91" i="20" s="1"/>
  <c r="F75" i="20"/>
  <c r="G12" i="28"/>
  <c r="G54" i="28" s="1"/>
  <c r="H50" i="23"/>
  <c r="N12" i="30"/>
  <c r="N54" i="30" s="1"/>
  <c r="L55" i="33"/>
  <c r="L19" i="33"/>
  <c r="L54" i="30"/>
  <c r="L18" i="30"/>
  <c r="K21" i="30"/>
  <c r="K60" i="30"/>
  <c r="K63" i="30" s="1"/>
  <c r="K67" i="30" s="1"/>
  <c r="K62" i="33"/>
  <c r="K65" i="33" s="1"/>
  <c r="K69" i="33" s="1"/>
  <c r="K22" i="33"/>
  <c r="C18" i="28"/>
  <c r="C60" i="28" s="1"/>
  <c r="C63" i="28" s="1"/>
  <c r="G56" i="28"/>
  <c r="N12" i="33"/>
  <c r="N53" i="33"/>
  <c r="M52" i="30"/>
  <c r="M12" i="30"/>
  <c r="M12" i="33"/>
  <c r="M53" i="33"/>
  <c r="G61" i="30"/>
  <c r="H96" i="30"/>
  <c r="H98" i="33"/>
  <c r="M102" i="30"/>
  <c r="M106" i="30" s="1"/>
  <c r="M110" i="30" s="1"/>
  <c r="M104" i="33"/>
  <c r="M108" i="33" s="1"/>
  <c r="M112" i="33" s="1"/>
  <c r="G50" i="28"/>
  <c r="H58" i="28"/>
  <c r="I52" i="28"/>
  <c r="F56" i="28"/>
  <c r="F50" i="28"/>
  <c r="H56" i="28"/>
  <c r="H57" i="28"/>
  <c r="G52" i="28"/>
  <c r="G61" i="28"/>
  <c r="H52" i="30"/>
  <c r="I56" i="19"/>
  <c r="I12" i="28"/>
  <c r="I54" i="28" s="1"/>
  <c r="G57" i="28"/>
  <c r="H12" i="28"/>
  <c r="H54" i="28" s="1"/>
  <c r="H52" i="28"/>
  <c r="I57" i="28"/>
  <c r="G52" i="30"/>
  <c r="O12" i="30"/>
  <c r="O52" i="30"/>
  <c r="C39" i="29"/>
  <c r="I123" i="29"/>
  <c r="I126" i="29" s="1"/>
  <c r="C127" i="29"/>
  <c r="C130" i="29" s="1"/>
  <c r="C132" i="29" s="1"/>
  <c r="C138" i="29" s="1"/>
  <c r="C142" i="29" s="1"/>
  <c r="C148" i="29" s="1"/>
  <c r="O102" i="30"/>
  <c r="O106" i="30" s="1"/>
  <c r="O110" i="30" s="1"/>
  <c r="I96" i="28"/>
  <c r="I96" i="30"/>
  <c r="I12" i="30"/>
  <c r="I50" i="30"/>
  <c r="I56" i="30"/>
  <c r="I58" i="30"/>
  <c r="I57" i="30"/>
  <c r="E8" i="28"/>
  <c r="E50" i="28" s="1"/>
  <c r="E8" i="30"/>
  <c r="I50" i="28"/>
  <c r="D94" i="28"/>
  <c r="D94" i="30"/>
  <c r="C54" i="30"/>
  <c r="C18" i="30"/>
  <c r="F10" i="28"/>
  <c r="F52" i="28" s="1"/>
  <c r="F10" i="30"/>
  <c r="F52" i="30" s="1"/>
  <c r="C54" i="19"/>
  <c r="H12" i="30"/>
  <c r="H50" i="30"/>
  <c r="H56" i="30"/>
  <c r="H58" i="30"/>
  <c r="H57" i="30"/>
  <c r="D96" i="28"/>
  <c r="D96" i="30"/>
  <c r="F94" i="28"/>
  <c r="F94" i="30"/>
  <c r="G52" i="25"/>
  <c r="I12" i="23"/>
  <c r="I18" i="23" s="1"/>
  <c r="I56" i="28"/>
  <c r="D42" i="20"/>
  <c r="K27" i="30"/>
  <c r="F50" i="30"/>
  <c r="F56" i="30"/>
  <c r="F57" i="30"/>
  <c r="G50" i="30"/>
  <c r="G12" i="30"/>
  <c r="G57" i="30"/>
  <c r="G56" i="30"/>
  <c r="D8" i="28"/>
  <c r="D56" i="28" s="1"/>
  <c r="D8" i="30"/>
  <c r="F96" i="28"/>
  <c r="F96" i="30"/>
  <c r="F57" i="23"/>
  <c r="I122" i="27"/>
  <c r="I125" i="27" s="1"/>
  <c r="N102" i="30"/>
  <c r="N106" i="30" s="1"/>
  <c r="N110" i="30" s="1"/>
  <c r="I52" i="30"/>
  <c r="H58" i="23"/>
  <c r="C18" i="23"/>
  <c r="C21" i="23" s="1"/>
  <c r="C102" i="23" s="1"/>
  <c r="C106" i="23" s="1"/>
  <c r="C110" i="23" s="1"/>
  <c r="N12" i="28"/>
  <c r="N52" i="28"/>
  <c r="C38" i="27"/>
  <c r="C126" i="27"/>
  <c r="C129" i="27" s="1"/>
  <c r="C131" i="27" s="1"/>
  <c r="C137" i="27" s="1"/>
  <c r="C141" i="27" s="1"/>
  <c r="C147" i="27" s="1"/>
  <c r="N102" i="28"/>
  <c r="N106" i="28" s="1"/>
  <c r="N110" i="28" s="1"/>
  <c r="M52" i="25"/>
  <c r="M12" i="25"/>
  <c r="C38" i="24"/>
  <c r="M102" i="25"/>
  <c r="M106" i="25" s="1"/>
  <c r="M110" i="25" s="1"/>
  <c r="C121" i="24"/>
  <c r="C124" i="24" s="1"/>
  <c r="C126" i="24" s="1"/>
  <c r="C131" i="24" s="1"/>
  <c r="C135" i="24" s="1"/>
  <c r="C141" i="24" s="1"/>
  <c r="M102" i="28"/>
  <c r="M106" i="28" s="1"/>
  <c r="M110" i="28" s="1"/>
  <c r="M52" i="28"/>
  <c r="M12" i="28"/>
  <c r="K60" i="21"/>
  <c r="K63" i="21" s="1"/>
  <c r="K67" i="21" s="1"/>
  <c r="K21" i="21"/>
  <c r="K25" i="21" s="1"/>
  <c r="K21" i="28"/>
  <c r="K60" i="28"/>
  <c r="K63" i="28" s="1"/>
  <c r="K67" i="28" s="1"/>
  <c r="K60" i="25"/>
  <c r="K63" i="25" s="1"/>
  <c r="K67" i="25" s="1"/>
  <c r="K21" i="25"/>
  <c r="L18" i="23"/>
  <c r="L54" i="23"/>
  <c r="L54" i="28"/>
  <c r="L18" i="28"/>
  <c r="D40" i="22"/>
  <c r="L28" i="38" s="1"/>
  <c r="L71" i="38" s="1"/>
  <c r="C77" i="22"/>
  <c r="K60" i="23"/>
  <c r="K63" i="23" s="1"/>
  <c r="K67" i="23" s="1"/>
  <c r="K21" i="23"/>
  <c r="L54" i="25"/>
  <c r="L18" i="25"/>
  <c r="K27" i="21"/>
  <c r="K69" i="21" s="1"/>
  <c r="K27" i="25"/>
  <c r="K69" i="25" s="1"/>
  <c r="K27" i="23"/>
  <c r="K69" i="23" s="1"/>
  <c r="K27" i="28"/>
  <c r="K69" i="28" s="1"/>
  <c r="H96" i="25"/>
  <c r="H96" i="28"/>
  <c r="I57" i="23"/>
  <c r="I56" i="23"/>
  <c r="I57" i="19"/>
  <c r="I50" i="19"/>
  <c r="F56" i="23"/>
  <c r="G61" i="25"/>
  <c r="I52" i="21"/>
  <c r="G12" i="19"/>
  <c r="G18" i="19" s="1"/>
  <c r="I52" i="19"/>
  <c r="G50" i="23"/>
  <c r="H57" i="23"/>
  <c r="H52" i="25"/>
  <c r="I12" i="19"/>
  <c r="I54" i="19" s="1"/>
  <c r="H12" i="23"/>
  <c r="H18" i="23" s="1"/>
  <c r="G50" i="19"/>
  <c r="H52" i="23"/>
  <c r="I50" i="25"/>
  <c r="I12" i="25"/>
  <c r="I58" i="25"/>
  <c r="I56" i="25"/>
  <c r="I57" i="25"/>
  <c r="G12" i="23"/>
  <c r="G18" i="23" s="1"/>
  <c r="G61" i="23"/>
  <c r="I96" i="23"/>
  <c r="I96" i="25"/>
  <c r="G52" i="23"/>
  <c r="D8" i="23"/>
  <c r="D50" i="23" s="1"/>
  <c r="D8" i="25"/>
  <c r="F57" i="19"/>
  <c r="I58" i="23"/>
  <c r="E8" i="23"/>
  <c r="E50" i="23" s="1"/>
  <c r="E8" i="25"/>
  <c r="I50" i="23"/>
  <c r="H50" i="25"/>
  <c r="H12" i="25"/>
  <c r="H56" i="25"/>
  <c r="H58" i="25"/>
  <c r="H57" i="25"/>
  <c r="F96" i="23"/>
  <c r="F96" i="25"/>
  <c r="D96" i="23"/>
  <c r="D96" i="25"/>
  <c r="F50" i="19"/>
  <c r="F50" i="25"/>
  <c r="F56" i="25"/>
  <c r="F57" i="25"/>
  <c r="F10" i="23"/>
  <c r="F52" i="23" s="1"/>
  <c r="F10" i="25"/>
  <c r="F52" i="25" s="1"/>
  <c r="G57" i="23"/>
  <c r="I52" i="25"/>
  <c r="D94" i="23"/>
  <c r="D94" i="25"/>
  <c r="F94" i="23"/>
  <c r="F94" i="25"/>
  <c r="G12" i="25"/>
  <c r="G50" i="25"/>
  <c r="G56" i="25"/>
  <c r="G57" i="25"/>
  <c r="I52" i="23"/>
  <c r="C54" i="25"/>
  <c r="G52" i="19"/>
  <c r="H12" i="19"/>
  <c r="H54" i="19" s="1"/>
  <c r="H96" i="21"/>
  <c r="H96" i="23"/>
  <c r="C50" i="15"/>
  <c r="H57" i="19"/>
  <c r="H58" i="19"/>
  <c r="G56" i="19"/>
  <c r="L26" i="9"/>
  <c r="L28" i="9" s="1"/>
  <c r="G57" i="19"/>
  <c r="H50" i="19"/>
  <c r="H52" i="21"/>
  <c r="E8" i="19"/>
  <c r="E56" i="19" s="1"/>
  <c r="E8" i="21"/>
  <c r="F94" i="19"/>
  <c r="F94" i="21"/>
  <c r="H56" i="19"/>
  <c r="G12" i="21"/>
  <c r="G50" i="21"/>
  <c r="G56" i="21"/>
  <c r="G57" i="21"/>
  <c r="H52" i="19"/>
  <c r="D96" i="19"/>
  <c r="D96" i="21"/>
  <c r="F57" i="21"/>
  <c r="F56" i="21"/>
  <c r="F50" i="21"/>
  <c r="D8" i="19"/>
  <c r="D50" i="19" s="1"/>
  <c r="D8" i="21"/>
  <c r="G52" i="21"/>
  <c r="G61" i="21"/>
  <c r="H56" i="21"/>
  <c r="H50" i="21"/>
  <c r="H57" i="21"/>
  <c r="H12" i="21"/>
  <c r="H58" i="21"/>
  <c r="C18" i="21"/>
  <c r="C54" i="21"/>
  <c r="F96" i="19"/>
  <c r="F96" i="21"/>
  <c r="I96" i="19"/>
  <c r="I96" i="21"/>
  <c r="G61" i="19"/>
  <c r="I57" i="21"/>
  <c r="I12" i="21"/>
  <c r="I50" i="21"/>
  <c r="I58" i="21"/>
  <c r="I56" i="21"/>
  <c r="F10" i="19"/>
  <c r="F52" i="19" s="1"/>
  <c r="F10" i="21"/>
  <c r="F52" i="21" s="1"/>
  <c r="D94" i="19"/>
  <c r="D94" i="21"/>
  <c r="I88" i="15"/>
  <c r="D53" i="20"/>
  <c r="D64" i="20" s="1"/>
  <c r="D66" i="20" s="1"/>
  <c r="L55" i="20"/>
  <c r="H59" i="18"/>
  <c r="C21" i="19"/>
  <c r="C60" i="19"/>
  <c r="C63" i="19" s="1"/>
  <c r="H88" i="15"/>
  <c r="H96" i="19"/>
  <c r="G55" i="12"/>
  <c r="F53" i="15"/>
  <c r="F52" i="15"/>
  <c r="L26" i="10"/>
  <c r="D26" i="10" s="1"/>
  <c r="H88" i="13"/>
  <c r="G12" i="15"/>
  <c r="G50" i="15" s="1"/>
  <c r="G57" i="15"/>
  <c r="G48" i="15"/>
  <c r="D57" i="18"/>
  <c r="D86" i="15"/>
  <c r="F10" i="15"/>
  <c r="F48" i="15" s="1"/>
  <c r="D88" i="15"/>
  <c r="G53" i="13"/>
  <c r="D83" i="10"/>
  <c r="G53" i="15"/>
  <c r="E8" i="15"/>
  <c r="E53" i="15" s="1"/>
  <c r="F86" i="15"/>
  <c r="G52" i="15"/>
  <c r="D8" i="15"/>
  <c r="D46" i="15" s="1"/>
  <c r="F88" i="15"/>
  <c r="G57" i="13"/>
  <c r="I48" i="15"/>
  <c r="I54" i="15"/>
  <c r="I52" i="15"/>
  <c r="I53" i="15"/>
  <c r="I12" i="15"/>
  <c r="I46" i="15"/>
  <c r="L31" i="16"/>
  <c r="H33" i="16"/>
  <c r="D21" i="10"/>
  <c r="L28" i="16"/>
  <c r="H48" i="13"/>
  <c r="H48" i="15"/>
  <c r="F53" i="13"/>
  <c r="H46" i="13"/>
  <c r="H52" i="13"/>
  <c r="H12" i="13"/>
  <c r="H53" i="13"/>
  <c r="C21" i="15"/>
  <c r="C56" i="15"/>
  <c r="C59" i="15" s="1"/>
  <c r="F52" i="13"/>
  <c r="C50" i="13"/>
  <c r="H52" i="15"/>
  <c r="H12" i="15"/>
  <c r="H46" i="15"/>
  <c r="H53" i="15"/>
  <c r="D17" i="9"/>
  <c r="D19" i="9" s="1"/>
  <c r="D21" i="9" s="1"/>
  <c r="D83" i="9"/>
  <c r="G12" i="13"/>
  <c r="G50" i="13" s="1"/>
  <c r="G48" i="13"/>
  <c r="G46" i="13"/>
  <c r="F86" i="13"/>
  <c r="F10" i="13"/>
  <c r="F48" i="13" s="1"/>
  <c r="D8" i="13"/>
  <c r="D46" i="13" s="1"/>
  <c r="F88" i="13"/>
  <c r="D86" i="13"/>
  <c r="D88" i="13"/>
  <c r="E8" i="13"/>
  <c r="E46" i="13" s="1"/>
  <c r="C21" i="13"/>
  <c r="C56" i="13"/>
  <c r="C59" i="13" s="1"/>
  <c r="C50" i="8"/>
  <c r="C52" i="8" s="1"/>
  <c r="D108" i="8"/>
  <c r="D127" i="8"/>
  <c r="F51" i="12"/>
  <c r="F52" i="12"/>
  <c r="F45" i="12"/>
  <c r="D78" i="11"/>
  <c r="D84" i="12"/>
  <c r="C17" i="12"/>
  <c r="C20" i="12" s="1"/>
  <c r="C49" i="12"/>
  <c r="F10" i="12"/>
  <c r="F47" i="12" s="1"/>
  <c r="F10" i="11"/>
  <c r="F44" i="11" s="1"/>
  <c r="C17" i="11"/>
  <c r="C46" i="11"/>
  <c r="D79" i="7"/>
  <c r="D8" i="12"/>
  <c r="F78" i="11"/>
  <c r="F84" i="12"/>
  <c r="E8" i="12"/>
  <c r="E8" i="11"/>
  <c r="F80" i="11"/>
  <c r="F86" i="12"/>
  <c r="D80" i="11"/>
  <c r="D86" i="12"/>
  <c r="F42" i="11"/>
  <c r="F48" i="11"/>
  <c r="F49" i="11"/>
  <c r="H18" i="5"/>
  <c r="L17" i="5" s="1"/>
  <c r="D17" i="5" s="1"/>
  <c r="D8" i="11"/>
  <c r="D8" i="7"/>
  <c r="D13" i="7" s="1"/>
  <c r="L16" i="6"/>
  <c r="L21" i="6" s="1"/>
  <c r="L22" i="6" s="1"/>
  <c r="C52" i="6" s="1"/>
  <c r="E97" i="38" s="1"/>
  <c r="H32" i="6"/>
  <c r="H30" i="8"/>
  <c r="L28" i="8"/>
  <c r="H27" i="6"/>
  <c r="C55" i="10"/>
  <c r="F51" i="10" s="1"/>
  <c r="D18" i="8"/>
  <c r="D20" i="8" s="1"/>
  <c r="I73" i="8" s="1"/>
  <c r="C54" i="6"/>
  <c r="E99" i="38" s="1"/>
  <c r="H26" i="7"/>
  <c r="H33" i="6"/>
  <c r="L17" i="6"/>
  <c r="D6" i="6"/>
  <c r="E10" i="38" s="1"/>
  <c r="E53" i="38" s="1"/>
  <c r="H28" i="6"/>
  <c r="D6" i="5"/>
  <c r="D10" i="38" s="1"/>
  <c r="H24" i="5"/>
  <c r="D8" i="2"/>
  <c r="D12" i="2" s="1"/>
  <c r="D20" i="2"/>
  <c r="D23" i="2" s="1"/>
  <c r="D25" i="2" s="1"/>
  <c r="D29" i="2" s="1"/>
  <c r="C41" i="2" s="1"/>
  <c r="C62" i="33" l="1"/>
  <c r="C65" i="33" s="1"/>
  <c r="D31" i="9"/>
  <c r="D38" i="9" s="1"/>
  <c r="D40" i="10"/>
  <c r="E51" i="33"/>
  <c r="L33" i="10"/>
  <c r="P62" i="38"/>
  <c r="P22" i="38"/>
  <c r="P26" i="38" s="1"/>
  <c r="Q19" i="38"/>
  <c r="Q55" i="38"/>
  <c r="Q115" i="38"/>
  <c r="P22" i="33"/>
  <c r="P26" i="33" s="1"/>
  <c r="P62" i="33"/>
  <c r="P65" i="33" s="1"/>
  <c r="P69" i="33" s="1"/>
  <c r="C41" i="35"/>
  <c r="C85" i="35"/>
  <c r="C87" i="35" s="1"/>
  <c r="C89" i="35" s="1"/>
  <c r="N55" i="36"/>
  <c r="F88" i="32"/>
  <c r="C143" i="32" s="1"/>
  <c r="F84" i="32"/>
  <c r="Q19" i="36"/>
  <c r="Q55" i="36"/>
  <c r="C41" i="37"/>
  <c r="C43" i="37" s="1"/>
  <c r="C85" i="37"/>
  <c r="P28" i="36"/>
  <c r="P71" i="36" s="1"/>
  <c r="P28" i="38"/>
  <c r="P71" i="38" s="1"/>
  <c r="P28" i="33"/>
  <c r="P71" i="33" s="1"/>
  <c r="C127" i="32"/>
  <c r="C130" i="32" s="1"/>
  <c r="R55" i="38"/>
  <c r="R19" i="38"/>
  <c r="R115" i="38"/>
  <c r="P22" i="36"/>
  <c r="P26" i="36" s="1"/>
  <c r="P62" i="36"/>
  <c r="P65" i="36" s="1"/>
  <c r="P69" i="36" s="1"/>
  <c r="D29" i="5"/>
  <c r="C156" i="38"/>
  <c r="G19" i="33"/>
  <c r="G62" i="33" s="1"/>
  <c r="G65" i="33" s="1"/>
  <c r="E57" i="33"/>
  <c r="C100" i="37"/>
  <c r="C105" i="37" s="1"/>
  <c r="L22" i="36"/>
  <c r="L26" i="36" s="1"/>
  <c r="I19" i="33"/>
  <c r="I22" i="33" s="1"/>
  <c r="O19" i="33"/>
  <c r="O22" i="33" s="1"/>
  <c r="O26" i="33" s="1"/>
  <c r="M55" i="36"/>
  <c r="R148" i="38"/>
  <c r="E222" i="38" s="1"/>
  <c r="H174" i="38"/>
  <c r="M115" i="38"/>
  <c r="C65" i="38"/>
  <c r="E150" i="38"/>
  <c r="K65" i="38"/>
  <c r="K69" i="38" s="1"/>
  <c r="K73" i="38" s="1"/>
  <c r="D53" i="38"/>
  <c r="E151" i="38"/>
  <c r="D154" i="38"/>
  <c r="H62" i="38"/>
  <c r="H22" i="38"/>
  <c r="L62" i="38"/>
  <c r="L22" i="38"/>
  <c r="E12" i="38"/>
  <c r="H19" i="33"/>
  <c r="H22" i="33" s="1"/>
  <c r="G22" i="38"/>
  <c r="G62" i="38"/>
  <c r="I22" i="38"/>
  <c r="I62" i="38"/>
  <c r="O62" i="38"/>
  <c r="O22" i="38"/>
  <c r="O26" i="38" s="1"/>
  <c r="N19" i="38"/>
  <c r="N55" i="38"/>
  <c r="D57" i="33"/>
  <c r="K107" i="38"/>
  <c r="K111" i="38" s="1"/>
  <c r="K76" i="38" s="1"/>
  <c r="K26" i="38"/>
  <c r="K30" i="38" s="1"/>
  <c r="D12" i="38"/>
  <c r="F19" i="38"/>
  <c r="F55" i="38"/>
  <c r="G18" i="28"/>
  <c r="G60" i="28" s="1"/>
  <c r="G63" i="28" s="1"/>
  <c r="C28" i="38"/>
  <c r="C71" i="38" s="1"/>
  <c r="C107" i="38"/>
  <c r="C111" i="38" s="1"/>
  <c r="C76" i="38" s="1"/>
  <c r="F12" i="33"/>
  <c r="F19" i="33" s="1"/>
  <c r="C60" i="23"/>
  <c r="C63" i="23" s="1"/>
  <c r="M55" i="38"/>
  <c r="M19" i="38"/>
  <c r="K30" i="36"/>
  <c r="E10" i="33"/>
  <c r="E53" i="33" s="1"/>
  <c r="E10" i="36"/>
  <c r="E53" i="36" s="1"/>
  <c r="O19" i="36"/>
  <c r="O55" i="36"/>
  <c r="C22" i="36"/>
  <c r="C62" i="36"/>
  <c r="C65" i="36" s="1"/>
  <c r="H55" i="36"/>
  <c r="H19" i="36"/>
  <c r="I55" i="36"/>
  <c r="I19" i="36"/>
  <c r="L28" i="33"/>
  <c r="L71" i="33" s="1"/>
  <c r="L28" i="36"/>
  <c r="L71" i="36" s="1"/>
  <c r="L73" i="36" s="1"/>
  <c r="D51" i="36"/>
  <c r="D57" i="36"/>
  <c r="E94" i="33"/>
  <c r="E94" i="36"/>
  <c r="E51" i="36"/>
  <c r="E58" i="36"/>
  <c r="E57" i="36"/>
  <c r="M62" i="36"/>
  <c r="M65" i="36" s="1"/>
  <c r="M69" i="36" s="1"/>
  <c r="M22" i="36"/>
  <c r="M26" i="36" s="1"/>
  <c r="G19" i="36"/>
  <c r="G55" i="36"/>
  <c r="E96" i="33"/>
  <c r="E96" i="36"/>
  <c r="F12" i="36"/>
  <c r="D101" i="36"/>
  <c r="D10" i="33"/>
  <c r="D53" i="33" s="1"/>
  <c r="D10" i="36"/>
  <c r="D53" i="36" s="1"/>
  <c r="N22" i="36"/>
  <c r="N26" i="36" s="1"/>
  <c r="N62" i="36"/>
  <c r="N65" i="36" s="1"/>
  <c r="N69" i="36" s="1"/>
  <c r="D101" i="33"/>
  <c r="D110" i="33" s="1"/>
  <c r="N18" i="30"/>
  <c r="N60" i="30" s="1"/>
  <c r="N63" i="30" s="1"/>
  <c r="N67" i="30" s="1"/>
  <c r="K104" i="33"/>
  <c r="K108" i="33" s="1"/>
  <c r="K112" i="33" s="1"/>
  <c r="K26" i="33"/>
  <c r="K30" i="33" s="1"/>
  <c r="K25" i="30"/>
  <c r="K29" i="30" s="1"/>
  <c r="K102" i="30"/>
  <c r="K106" i="30" s="1"/>
  <c r="K110" i="30" s="1"/>
  <c r="K73" i="33"/>
  <c r="L21" i="30"/>
  <c r="L60" i="30"/>
  <c r="L63" i="30" s="1"/>
  <c r="L67" i="30" s="1"/>
  <c r="L62" i="33"/>
  <c r="L65" i="33" s="1"/>
  <c r="L69" i="33" s="1"/>
  <c r="L22" i="33"/>
  <c r="I54" i="23"/>
  <c r="C21" i="28"/>
  <c r="C102" i="28" s="1"/>
  <c r="C106" i="28" s="1"/>
  <c r="C110" i="28" s="1"/>
  <c r="D50" i="28"/>
  <c r="H18" i="28"/>
  <c r="H60" i="28" s="1"/>
  <c r="H63" i="28" s="1"/>
  <c r="F12" i="30"/>
  <c r="F54" i="30" s="1"/>
  <c r="M55" i="33"/>
  <c r="M19" i="33"/>
  <c r="M18" i="30"/>
  <c r="M54" i="30"/>
  <c r="N55" i="33"/>
  <c r="N19" i="33"/>
  <c r="I18" i="19"/>
  <c r="I21" i="19" s="1"/>
  <c r="I18" i="28"/>
  <c r="I21" i="28" s="1"/>
  <c r="D99" i="28"/>
  <c r="D108" i="28" s="1"/>
  <c r="C104" i="33"/>
  <c r="C108" i="33" s="1"/>
  <c r="C112" i="33" s="1"/>
  <c r="C28" i="33"/>
  <c r="C71" i="33" s="1"/>
  <c r="F12" i="19"/>
  <c r="F54" i="19" s="1"/>
  <c r="D99" i="30"/>
  <c r="D108" i="30" s="1"/>
  <c r="E57" i="23"/>
  <c r="F12" i="28"/>
  <c r="F18" i="28" s="1"/>
  <c r="C41" i="29"/>
  <c r="C87" i="29"/>
  <c r="O54" i="30"/>
  <c r="O18" i="30"/>
  <c r="E92" i="28"/>
  <c r="E92" i="30"/>
  <c r="G54" i="30"/>
  <c r="G18" i="30"/>
  <c r="D10" i="28"/>
  <c r="D52" i="28" s="1"/>
  <c r="D10" i="30"/>
  <c r="D52" i="30" s="1"/>
  <c r="E94" i="28"/>
  <c r="E94" i="30"/>
  <c r="C21" i="30"/>
  <c r="C60" i="30"/>
  <c r="C63" i="30" s="1"/>
  <c r="H18" i="30"/>
  <c r="H54" i="30"/>
  <c r="E56" i="23"/>
  <c r="E57" i="28"/>
  <c r="D42" i="22"/>
  <c r="L27" i="30"/>
  <c r="D56" i="30"/>
  <c r="D50" i="30"/>
  <c r="I18" i="30"/>
  <c r="I54" i="30"/>
  <c r="E56" i="28"/>
  <c r="E10" i="28"/>
  <c r="E52" i="28" s="1"/>
  <c r="E10" i="30"/>
  <c r="E52" i="30" s="1"/>
  <c r="G54" i="19"/>
  <c r="K69" i="30"/>
  <c r="K71" i="30" s="1"/>
  <c r="E56" i="30"/>
  <c r="E50" i="30"/>
  <c r="E57" i="30"/>
  <c r="H18" i="19"/>
  <c r="H60" i="19" s="1"/>
  <c r="H63" i="19" s="1"/>
  <c r="D99" i="25"/>
  <c r="D108" i="25" s="1"/>
  <c r="M54" i="25"/>
  <c r="M18" i="25"/>
  <c r="M54" i="28"/>
  <c r="M18" i="28"/>
  <c r="C84" i="24"/>
  <c r="C86" i="24" s="1"/>
  <c r="C88" i="24" s="1"/>
  <c r="C40" i="24"/>
  <c r="M28" i="38" s="1"/>
  <c r="M71" i="38" s="1"/>
  <c r="C86" i="27"/>
  <c r="C88" i="27" s="1"/>
  <c r="C90" i="27" s="1"/>
  <c r="C40" i="27"/>
  <c r="N18" i="28"/>
  <c r="N54" i="28"/>
  <c r="K71" i="28"/>
  <c r="K102" i="23"/>
  <c r="K106" i="23" s="1"/>
  <c r="K110" i="23" s="1"/>
  <c r="K25" i="23"/>
  <c r="K29" i="23" s="1"/>
  <c r="L60" i="23"/>
  <c r="L63" i="23" s="1"/>
  <c r="L67" i="23" s="1"/>
  <c r="L21" i="23"/>
  <c r="K71" i="23"/>
  <c r="K102" i="25"/>
  <c r="K106" i="25" s="1"/>
  <c r="K110" i="25" s="1"/>
  <c r="K25" i="25"/>
  <c r="K29" i="25" s="1"/>
  <c r="K71" i="25"/>
  <c r="C79" i="22"/>
  <c r="C81" i="22" s="1"/>
  <c r="L27" i="28"/>
  <c r="L69" i="28" s="1"/>
  <c r="L27" i="23"/>
  <c r="L69" i="23" s="1"/>
  <c r="L27" i="25"/>
  <c r="L69" i="25" s="1"/>
  <c r="K25" i="28"/>
  <c r="K29" i="28" s="1"/>
  <c r="K102" i="28"/>
  <c r="K106" i="28" s="1"/>
  <c r="K110" i="28" s="1"/>
  <c r="L21" i="28"/>
  <c r="L60" i="28"/>
  <c r="L63" i="28" s="1"/>
  <c r="L67" i="28" s="1"/>
  <c r="K29" i="21"/>
  <c r="L60" i="25"/>
  <c r="L63" i="25" s="1"/>
  <c r="L67" i="25" s="1"/>
  <c r="L21" i="25"/>
  <c r="K71" i="21"/>
  <c r="D56" i="23"/>
  <c r="D99" i="23"/>
  <c r="D108" i="23" s="1"/>
  <c r="H54" i="23"/>
  <c r="F12" i="25"/>
  <c r="F18" i="25" s="1"/>
  <c r="G54" i="25"/>
  <c r="G18" i="25"/>
  <c r="E50" i="25"/>
  <c r="E56" i="25"/>
  <c r="E57" i="25"/>
  <c r="E92" i="23"/>
  <c r="E92" i="25"/>
  <c r="E94" i="23"/>
  <c r="E94" i="25"/>
  <c r="C60" i="25"/>
  <c r="C63" i="25" s="1"/>
  <c r="D56" i="25"/>
  <c r="D50" i="25"/>
  <c r="D10" i="23"/>
  <c r="D52" i="23" s="1"/>
  <c r="D10" i="25"/>
  <c r="D52" i="25" s="1"/>
  <c r="E10" i="23"/>
  <c r="E52" i="23" s="1"/>
  <c r="E10" i="25"/>
  <c r="E52" i="25" s="1"/>
  <c r="D99" i="19"/>
  <c r="F12" i="23"/>
  <c r="F54" i="23" s="1"/>
  <c r="H54" i="25"/>
  <c r="H18" i="25"/>
  <c r="G54" i="23"/>
  <c r="I54" i="25"/>
  <c r="I18" i="25"/>
  <c r="D26" i="9"/>
  <c r="D40" i="9" s="1"/>
  <c r="C27" i="23"/>
  <c r="C69" i="23" s="1"/>
  <c r="I21" i="23"/>
  <c r="I102" i="23" s="1"/>
  <c r="I106" i="23" s="1"/>
  <c r="I60" i="23"/>
  <c r="I63" i="23" s="1"/>
  <c r="H21" i="23"/>
  <c r="H102" i="23" s="1"/>
  <c r="H106" i="23" s="1"/>
  <c r="H60" i="23"/>
  <c r="H63" i="23" s="1"/>
  <c r="G60" i="23"/>
  <c r="G63" i="23" s="1"/>
  <c r="G21" i="23"/>
  <c r="G102" i="23" s="1"/>
  <c r="G106" i="23" s="1"/>
  <c r="E57" i="19"/>
  <c r="F12" i="21"/>
  <c r="F18" i="21" s="1"/>
  <c r="E50" i="19"/>
  <c r="D56" i="19"/>
  <c r="G54" i="21"/>
  <c r="G18" i="21"/>
  <c r="G18" i="15"/>
  <c r="G56" i="15" s="1"/>
  <c r="G59" i="15" s="1"/>
  <c r="E92" i="19"/>
  <c r="E92" i="21"/>
  <c r="E94" i="19"/>
  <c r="E94" i="21"/>
  <c r="I18" i="21"/>
  <c r="I54" i="21"/>
  <c r="C60" i="21"/>
  <c r="C63" i="21" s="1"/>
  <c r="C21" i="21"/>
  <c r="D56" i="21"/>
  <c r="D50" i="21"/>
  <c r="E50" i="21"/>
  <c r="E56" i="21"/>
  <c r="E57" i="21"/>
  <c r="D99" i="21"/>
  <c r="H18" i="21"/>
  <c r="H54" i="21"/>
  <c r="D10" i="19"/>
  <c r="D52" i="19" s="1"/>
  <c r="D10" i="21"/>
  <c r="D52" i="21" s="1"/>
  <c r="E10" i="19"/>
  <c r="E52" i="19" s="1"/>
  <c r="E10" i="21"/>
  <c r="E52" i="21" s="1"/>
  <c r="G18" i="13"/>
  <c r="G56" i="13" s="1"/>
  <c r="G59" i="13" s="1"/>
  <c r="D91" i="15"/>
  <c r="D83" i="11"/>
  <c r="F12" i="15"/>
  <c r="F18" i="15" s="1"/>
  <c r="E52" i="15"/>
  <c r="F12" i="11"/>
  <c r="F46" i="11" s="1"/>
  <c r="G60" i="19"/>
  <c r="G63" i="19" s="1"/>
  <c r="G21" i="19"/>
  <c r="L28" i="10"/>
  <c r="C27" i="19"/>
  <c r="C69" i="19" s="1"/>
  <c r="D68" i="18"/>
  <c r="D70" i="18" s="1"/>
  <c r="E46" i="15"/>
  <c r="E10" i="15"/>
  <c r="E48" i="15" s="1"/>
  <c r="E86" i="15"/>
  <c r="D52" i="15"/>
  <c r="E84" i="15"/>
  <c r="D10" i="15"/>
  <c r="D48" i="15" s="1"/>
  <c r="L33" i="16"/>
  <c r="D38" i="16"/>
  <c r="D40" i="16" s="1"/>
  <c r="I18" i="15"/>
  <c r="I50" i="15"/>
  <c r="D52" i="13"/>
  <c r="H50" i="15"/>
  <c r="H18" i="15"/>
  <c r="C51" i="9"/>
  <c r="C53" i="9" s="1"/>
  <c r="H18" i="13"/>
  <c r="H50" i="13"/>
  <c r="C23" i="15"/>
  <c r="C61" i="15" s="1"/>
  <c r="F12" i="13"/>
  <c r="F50" i="13" s="1"/>
  <c r="E53" i="13"/>
  <c r="E86" i="13"/>
  <c r="E52" i="13"/>
  <c r="D10" i="13"/>
  <c r="D48" i="13" s="1"/>
  <c r="E10" i="13"/>
  <c r="E48" i="13" s="1"/>
  <c r="E84" i="13"/>
  <c r="D91" i="13"/>
  <c r="C22" i="12"/>
  <c r="C24" i="12" s="1"/>
  <c r="C23" i="13"/>
  <c r="C61" i="13" s="1"/>
  <c r="E82" i="12"/>
  <c r="E76" i="11"/>
  <c r="C54" i="12"/>
  <c r="C57" i="12" s="1"/>
  <c r="D89" i="12"/>
  <c r="D45" i="12"/>
  <c r="D51" i="12"/>
  <c r="C51" i="11"/>
  <c r="C19" i="11"/>
  <c r="C53" i="11" s="1"/>
  <c r="E42" i="11"/>
  <c r="E48" i="11"/>
  <c r="E49" i="11"/>
  <c r="E45" i="12"/>
  <c r="E51" i="12"/>
  <c r="E52" i="12"/>
  <c r="E84" i="12"/>
  <c r="E78" i="11"/>
  <c r="D81" i="7"/>
  <c r="D83" i="7" s="1"/>
  <c r="D88" i="7" s="1"/>
  <c r="D10" i="12"/>
  <c r="D12" i="12" s="1"/>
  <c r="D8" i="6"/>
  <c r="D13" i="6" s="1"/>
  <c r="E10" i="12"/>
  <c r="E47" i="12" s="1"/>
  <c r="E10" i="11"/>
  <c r="E44" i="11" s="1"/>
  <c r="F12" i="12"/>
  <c r="H19" i="5"/>
  <c r="D42" i="11"/>
  <c r="D48" i="11"/>
  <c r="G8" i="11"/>
  <c r="D8" i="5"/>
  <c r="D12" i="5" s="1"/>
  <c r="I41" i="5" s="1"/>
  <c r="D10" i="11"/>
  <c r="D12" i="11" s="1"/>
  <c r="D25" i="8"/>
  <c r="L30" i="8"/>
  <c r="H34" i="6"/>
  <c r="L33" i="6"/>
  <c r="L32" i="6" s="1"/>
  <c r="F53" i="10"/>
  <c r="F55" i="10" s="1"/>
  <c r="I65" i="10" s="1"/>
  <c r="C54" i="8"/>
  <c r="E39" i="2"/>
  <c r="C125" i="38" s="1"/>
  <c r="G41" i="5"/>
  <c r="L18" i="6"/>
  <c r="H14" i="7"/>
  <c r="L26" i="7"/>
  <c r="H28" i="7"/>
  <c r="L23" i="6"/>
  <c r="L27" i="6"/>
  <c r="H29" i="6"/>
  <c r="L22" i="5"/>
  <c r="D22" i="5" s="1"/>
  <c r="D25" i="5" s="1"/>
  <c r="D27" i="5" s="1"/>
  <c r="D31" i="5" s="1"/>
  <c r="C45" i="5" s="1"/>
  <c r="D156" i="38" s="1"/>
  <c r="L19" i="5"/>
  <c r="F55" i="33" l="1"/>
  <c r="E12" i="33"/>
  <c r="P30" i="33"/>
  <c r="P73" i="33"/>
  <c r="F90" i="32"/>
  <c r="K101" i="32" s="1"/>
  <c r="P73" i="36"/>
  <c r="P30" i="36"/>
  <c r="C87" i="37"/>
  <c r="C89" i="37" s="1"/>
  <c r="F89" i="35"/>
  <c r="K100" i="35" s="1"/>
  <c r="F83" i="35"/>
  <c r="R22" i="38"/>
  <c r="R26" i="38" s="1"/>
  <c r="R62" i="38"/>
  <c r="Q22" i="36"/>
  <c r="Q26" i="36" s="1"/>
  <c r="Q62" i="36"/>
  <c r="Q65" i="36" s="1"/>
  <c r="Q69" i="36" s="1"/>
  <c r="L104" i="36"/>
  <c r="L108" i="36" s="1"/>
  <c r="L112" i="36" s="1"/>
  <c r="G22" i="33"/>
  <c r="G28" i="33" s="1"/>
  <c r="G71" i="33" s="1"/>
  <c r="Q22" i="38"/>
  <c r="Q26" i="38" s="1"/>
  <c r="Q62" i="38"/>
  <c r="C127" i="37"/>
  <c r="C130" i="37" s="1"/>
  <c r="R28" i="38"/>
  <c r="R71" i="38" s="1"/>
  <c r="P30" i="38"/>
  <c r="Q28" i="38"/>
  <c r="Q71" i="38" s="1"/>
  <c r="Q28" i="36"/>
  <c r="Q71" i="36" s="1"/>
  <c r="C126" i="35"/>
  <c r="C129" i="35" s="1"/>
  <c r="G21" i="28"/>
  <c r="G102" i="28" s="1"/>
  <c r="G106" i="28" s="1"/>
  <c r="C43" i="35"/>
  <c r="G125" i="35" s="1"/>
  <c r="G129" i="35" s="1"/>
  <c r="P65" i="38"/>
  <c r="P69" i="38" s="1"/>
  <c r="P73" i="38" s="1"/>
  <c r="O62" i="33"/>
  <c r="O65" i="33" s="1"/>
  <c r="O69" i="33" s="1"/>
  <c r="I62" i="33"/>
  <c r="I65" i="33" s="1"/>
  <c r="E154" i="38"/>
  <c r="C158" i="38"/>
  <c r="C160" i="38" s="1"/>
  <c r="H62" i="33"/>
  <c r="H65" i="33" s="1"/>
  <c r="D158" i="38"/>
  <c r="D160" i="38" s="1"/>
  <c r="O65" i="38"/>
  <c r="O69" i="38" s="1"/>
  <c r="L65" i="38"/>
  <c r="L69" i="38" s="1"/>
  <c r="L73" i="38" s="1"/>
  <c r="H65" i="38"/>
  <c r="I65" i="38"/>
  <c r="K115" i="38"/>
  <c r="G65" i="38"/>
  <c r="C115" i="38"/>
  <c r="C128" i="38"/>
  <c r="C131" i="38" s="1"/>
  <c r="C134" i="38" s="1"/>
  <c r="C175" i="38"/>
  <c r="C30" i="38"/>
  <c r="C73" i="38" s="1"/>
  <c r="N28" i="36"/>
  <c r="N71" i="36" s="1"/>
  <c r="N73" i="36" s="1"/>
  <c r="N28" i="38"/>
  <c r="N71" i="38" s="1"/>
  <c r="G107" i="38"/>
  <c r="G28" i="38"/>
  <c r="D12" i="36"/>
  <c r="D19" i="36" s="1"/>
  <c r="M62" i="38"/>
  <c r="M22" i="38"/>
  <c r="M26" i="38" s="1"/>
  <c r="M30" i="38" s="1"/>
  <c r="N62" i="38"/>
  <c r="N22" i="38"/>
  <c r="N26" i="38" s="1"/>
  <c r="E55" i="38"/>
  <c r="E19" i="38"/>
  <c r="D12" i="33"/>
  <c r="D19" i="33" s="1"/>
  <c r="F62" i="38"/>
  <c r="F22" i="38"/>
  <c r="L107" i="38"/>
  <c r="L111" i="38" s="1"/>
  <c r="L76" i="38" s="1"/>
  <c r="L26" i="38"/>
  <c r="L30" i="38" s="1"/>
  <c r="E12" i="36"/>
  <c r="E55" i="36" s="1"/>
  <c r="D55" i="38"/>
  <c r="D19" i="38"/>
  <c r="O28" i="36"/>
  <c r="O71" i="36" s="1"/>
  <c r="O28" i="38"/>
  <c r="O71" i="38" s="1"/>
  <c r="C27" i="28"/>
  <c r="C69" i="28" s="1"/>
  <c r="H107" i="38"/>
  <c r="H111" i="38" s="1"/>
  <c r="H76" i="38" s="1"/>
  <c r="H28" i="38"/>
  <c r="H71" i="38" s="1"/>
  <c r="I107" i="38"/>
  <c r="I111" i="38" s="1"/>
  <c r="I76" i="38" s="1"/>
  <c r="I28" i="38"/>
  <c r="I71" i="38" s="1"/>
  <c r="L30" i="36"/>
  <c r="M28" i="33"/>
  <c r="M71" i="33" s="1"/>
  <c r="M28" i="36"/>
  <c r="M71" i="36" s="1"/>
  <c r="M73" i="36" s="1"/>
  <c r="D110" i="36"/>
  <c r="F19" i="36"/>
  <c r="F55" i="36"/>
  <c r="C28" i="36"/>
  <c r="C71" i="36" s="1"/>
  <c r="C104" i="36"/>
  <c r="C108" i="36" s="1"/>
  <c r="C112" i="36" s="1"/>
  <c r="C122" i="33"/>
  <c r="C125" i="33" s="1"/>
  <c r="C128" i="33" s="1"/>
  <c r="C131" i="33" s="1"/>
  <c r="C122" i="36"/>
  <c r="C125" i="36" s="1"/>
  <c r="C128" i="36" s="1"/>
  <c r="C131" i="36" s="1"/>
  <c r="I62" i="36"/>
  <c r="I65" i="36" s="1"/>
  <c r="I22" i="36"/>
  <c r="G22" i="36"/>
  <c r="G62" i="36"/>
  <c r="G65" i="36" s="1"/>
  <c r="O22" i="36"/>
  <c r="O26" i="36" s="1"/>
  <c r="O62" i="36"/>
  <c r="O65" i="36" s="1"/>
  <c r="O69" i="36" s="1"/>
  <c r="H22" i="36"/>
  <c r="H62" i="36"/>
  <c r="H65" i="36" s="1"/>
  <c r="F88" i="27"/>
  <c r="F90" i="27" s="1"/>
  <c r="J100" i="27" s="1"/>
  <c r="F84" i="27"/>
  <c r="F86" i="24"/>
  <c r="F88" i="24" s="1"/>
  <c r="I99" i="24" s="1"/>
  <c r="F82" i="24"/>
  <c r="N21" i="30"/>
  <c r="N25" i="30" s="1"/>
  <c r="F79" i="22"/>
  <c r="F81" i="22" s="1"/>
  <c r="I91" i="22" s="1"/>
  <c r="F75" i="22"/>
  <c r="C62" i="8"/>
  <c r="C64" i="8" s="1"/>
  <c r="C60" i="8"/>
  <c r="L102" i="30"/>
  <c r="L106" i="30" s="1"/>
  <c r="L110" i="30" s="1"/>
  <c r="L25" i="30"/>
  <c r="L29" i="30" s="1"/>
  <c r="L73" i="33"/>
  <c r="L26" i="33"/>
  <c r="L30" i="33" s="1"/>
  <c r="L104" i="33"/>
  <c r="L108" i="33" s="1"/>
  <c r="L112" i="33" s="1"/>
  <c r="H21" i="28"/>
  <c r="H102" i="28" s="1"/>
  <c r="H106" i="28" s="1"/>
  <c r="F18" i="19"/>
  <c r="F21" i="19" s="1"/>
  <c r="F27" i="19" s="1"/>
  <c r="F69" i="19" s="1"/>
  <c r="F18" i="30"/>
  <c r="F21" i="30" s="1"/>
  <c r="I60" i="19"/>
  <c r="I63" i="19" s="1"/>
  <c r="I60" i="28"/>
  <c r="I63" i="28" s="1"/>
  <c r="H21" i="19"/>
  <c r="H27" i="19" s="1"/>
  <c r="H69" i="19" s="1"/>
  <c r="N62" i="33"/>
  <c r="N65" i="33" s="1"/>
  <c r="N69" i="33" s="1"/>
  <c r="N22" i="33"/>
  <c r="N26" i="33" s="1"/>
  <c r="M21" i="30"/>
  <c r="M25" i="30" s="1"/>
  <c r="M60" i="30"/>
  <c r="M63" i="30" s="1"/>
  <c r="M67" i="30" s="1"/>
  <c r="M22" i="33"/>
  <c r="M26" i="33" s="1"/>
  <c r="M62" i="33"/>
  <c r="M65" i="33" s="1"/>
  <c r="M69" i="33" s="1"/>
  <c r="E55" i="33"/>
  <c r="E19" i="33"/>
  <c r="H104" i="33"/>
  <c r="H108" i="33" s="1"/>
  <c r="H28" i="33"/>
  <c r="H71" i="33" s="1"/>
  <c r="C43" i="29"/>
  <c r="I144" i="29" s="1"/>
  <c r="I148" i="29" s="1"/>
  <c r="O28" i="33"/>
  <c r="I104" i="33"/>
  <c r="I108" i="33" s="1"/>
  <c r="I28" i="33"/>
  <c r="I71" i="33" s="1"/>
  <c r="N27" i="30"/>
  <c r="N69" i="30" s="1"/>
  <c r="N71" i="30" s="1"/>
  <c r="N28" i="33"/>
  <c r="C30" i="33"/>
  <c r="C73" i="33" s="1"/>
  <c r="F54" i="28"/>
  <c r="F54" i="25"/>
  <c r="F22" i="33"/>
  <c r="F62" i="33"/>
  <c r="F65" i="33" s="1"/>
  <c r="D12" i="30"/>
  <c r="D18" i="30" s="1"/>
  <c r="O60" i="30"/>
  <c r="O63" i="30" s="1"/>
  <c r="O67" i="30" s="1"/>
  <c r="O21" i="30"/>
  <c r="O25" i="30" s="1"/>
  <c r="C89" i="29"/>
  <c r="C91" i="29" s="1"/>
  <c r="I129" i="29"/>
  <c r="I131" i="29" s="1"/>
  <c r="O27" i="30"/>
  <c r="O69" i="30" s="1"/>
  <c r="C42" i="24"/>
  <c r="M27" i="30"/>
  <c r="G21" i="30"/>
  <c r="G60" i="30"/>
  <c r="G63" i="30" s="1"/>
  <c r="H60" i="30"/>
  <c r="H63" i="30" s="1"/>
  <c r="H21" i="30"/>
  <c r="L69" i="30"/>
  <c r="L71" i="30" s="1"/>
  <c r="E41" i="2"/>
  <c r="C120" i="30"/>
  <c r="C123" i="30" s="1"/>
  <c r="C126" i="30" s="1"/>
  <c r="C129" i="30" s="1"/>
  <c r="C120" i="28"/>
  <c r="C123" i="28" s="1"/>
  <c r="C126" i="28" s="1"/>
  <c r="C129" i="28" s="1"/>
  <c r="C27" i="30"/>
  <c r="C69" i="30" s="1"/>
  <c r="C102" i="30"/>
  <c r="C106" i="30" s="1"/>
  <c r="C110" i="30" s="1"/>
  <c r="E12" i="28"/>
  <c r="E54" i="28" s="1"/>
  <c r="E12" i="30"/>
  <c r="I21" i="30"/>
  <c r="I60" i="30"/>
  <c r="I63" i="30" s="1"/>
  <c r="D12" i="28"/>
  <c r="D54" i="28" s="1"/>
  <c r="N27" i="28"/>
  <c r="N69" i="28" s="1"/>
  <c r="I128" i="27"/>
  <c r="I130" i="27" s="1"/>
  <c r="C42" i="27"/>
  <c r="I143" i="27" s="1"/>
  <c r="I147" i="27" s="1"/>
  <c r="M21" i="28"/>
  <c r="M25" i="28" s="1"/>
  <c r="M60" i="28"/>
  <c r="M63" i="28" s="1"/>
  <c r="M67" i="28" s="1"/>
  <c r="N60" i="28"/>
  <c r="N63" i="28" s="1"/>
  <c r="N67" i="28" s="1"/>
  <c r="N21" i="28"/>
  <c r="N25" i="28" s="1"/>
  <c r="M60" i="25"/>
  <c r="M63" i="25" s="1"/>
  <c r="M67" i="25" s="1"/>
  <c r="M21" i="25"/>
  <c r="M25" i="25" s="1"/>
  <c r="M27" i="28"/>
  <c r="M69" i="28" s="1"/>
  <c r="M27" i="25"/>
  <c r="M69" i="25" s="1"/>
  <c r="L71" i="25"/>
  <c r="L102" i="28"/>
  <c r="L106" i="28" s="1"/>
  <c r="L110" i="28" s="1"/>
  <c r="L25" i="28"/>
  <c r="L29" i="28" s="1"/>
  <c r="L25" i="25"/>
  <c r="L29" i="25" s="1"/>
  <c r="L102" i="25"/>
  <c r="L106" i="25" s="1"/>
  <c r="L110" i="25" s="1"/>
  <c r="L102" i="23"/>
  <c r="L106" i="23" s="1"/>
  <c r="L110" i="23" s="1"/>
  <c r="L25" i="23"/>
  <c r="L29" i="23" s="1"/>
  <c r="L71" i="28"/>
  <c r="L71" i="23"/>
  <c r="E12" i="23"/>
  <c r="E18" i="23" s="1"/>
  <c r="F21" i="28"/>
  <c r="F60" i="28"/>
  <c r="F63" i="28" s="1"/>
  <c r="I102" i="28"/>
  <c r="I106" i="28" s="1"/>
  <c r="I27" i="28"/>
  <c r="I69" i="28" s="1"/>
  <c r="D12" i="25"/>
  <c r="D18" i="25" s="1"/>
  <c r="D12" i="15"/>
  <c r="D18" i="15" s="1"/>
  <c r="D12" i="23"/>
  <c r="D54" i="23" s="1"/>
  <c r="F60" i="25"/>
  <c r="F63" i="25" s="1"/>
  <c r="F21" i="25"/>
  <c r="I21" i="25"/>
  <c r="I60" i="25"/>
  <c r="I63" i="25" s="1"/>
  <c r="C27" i="25"/>
  <c r="C69" i="25" s="1"/>
  <c r="C102" i="25"/>
  <c r="C106" i="25" s="1"/>
  <c r="C110" i="25" s="1"/>
  <c r="G21" i="15"/>
  <c r="G23" i="15" s="1"/>
  <c r="G61" i="15" s="1"/>
  <c r="E12" i="25"/>
  <c r="F18" i="23"/>
  <c r="F60" i="23" s="1"/>
  <c r="F63" i="23" s="1"/>
  <c r="G21" i="25"/>
  <c r="G60" i="25"/>
  <c r="G63" i="25" s="1"/>
  <c r="H21" i="25"/>
  <c r="H60" i="25"/>
  <c r="H63" i="25" s="1"/>
  <c r="G21" i="13"/>
  <c r="G23" i="13" s="1"/>
  <c r="G61" i="13" s="1"/>
  <c r="F50" i="15"/>
  <c r="I27" i="23"/>
  <c r="I69" i="23" s="1"/>
  <c r="G27" i="23"/>
  <c r="G69" i="23" s="1"/>
  <c r="F54" i="21"/>
  <c r="H27" i="23"/>
  <c r="H69" i="23" s="1"/>
  <c r="C29" i="23"/>
  <c r="C71" i="23" s="1"/>
  <c r="D12" i="19"/>
  <c r="D54" i="19" s="1"/>
  <c r="E12" i="19"/>
  <c r="E54" i="19" s="1"/>
  <c r="D12" i="21"/>
  <c r="D54" i="21" s="1"/>
  <c r="H21" i="21"/>
  <c r="H60" i="21"/>
  <c r="H63" i="21" s="1"/>
  <c r="C27" i="21"/>
  <c r="C69" i="21" s="1"/>
  <c r="G21" i="21"/>
  <c r="G60" i="21"/>
  <c r="G63" i="21" s="1"/>
  <c r="E12" i="21"/>
  <c r="I21" i="21"/>
  <c r="I60" i="21"/>
  <c r="I63" i="21" s="1"/>
  <c r="F60" i="21"/>
  <c r="F63" i="21" s="1"/>
  <c r="F21" i="21"/>
  <c r="H31" i="7"/>
  <c r="H33" i="7" s="1"/>
  <c r="I27" i="19"/>
  <c r="I69" i="19" s="1"/>
  <c r="F17" i="11"/>
  <c r="F19" i="11" s="1"/>
  <c r="F53" i="11" s="1"/>
  <c r="G27" i="19"/>
  <c r="G69" i="19" s="1"/>
  <c r="C29" i="19"/>
  <c r="C71" i="19" s="1"/>
  <c r="E56" i="6"/>
  <c r="E101" i="38" s="1"/>
  <c r="E12" i="15"/>
  <c r="E18" i="15" s="1"/>
  <c r="I56" i="15"/>
  <c r="I59" i="15" s="1"/>
  <c r="I21" i="15"/>
  <c r="E12" i="11"/>
  <c r="E17" i="11" s="1"/>
  <c r="H56" i="13"/>
  <c r="H59" i="13" s="1"/>
  <c r="H21" i="13"/>
  <c r="C25" i="15"/>
  <c r="C63" i="15" s="1"/>
  <c r="H56" i="15"/>
  <c r="H59" i="15" s="1"/>
  <c r="H21" i="15"/>
  <c r="D12" i="13"/>
  <c r="D50" i="13" s="1"/>
  <c r="D17" i="7"/>
  <c r="D19" i="7" s="1"/>
  <c r="D90" i="7" s="1"/>
  <c r="D92" i="7" s="1"/>
  <c r="F21" i="15"/>
  <c r="F56" i="15"/>
  <c r="F59" i="15" s="1"/>
  <c r="C55" i="9"/>
  <c r="F18" i="13"/>
  <c r="F21" i="13" s="1"/>
  <c r="E12" i="13"/>
  <c r="E18" i="13" s="1"/>
  <c r="C25" i="13"/>
  <c r="C63" i="13" s="1"/>
  <c r="D17" i="12"/>
  <c r="D20" i="12" s="1"/>
  <c r="D49" i="12"/>
  <c r="F49" i="12"/>
  <c r="F17" i="12"/>
  <c r="F20" i="12" s="1"/>
  <c r="E12" i="12"/>
  <c r="C21" i="11"/>
  <c r="C55" i="11" s="1"/>
  <c r="G12" i="12"/>
  <c r="G45" i="12"/>
  <c r="G52" i="12"/>
  <c r="G51" i="12"/>
  <c r="D47" i="12"/>
  <c r="G47" i="12"/>
  <c r="D46" i="11"/>
  <c r="D17" i="11"/>
  <c r="G42" i="11"/>
  <c r="G49" i="11"/>
  <c r="G48" i="11"/>
  <c r="D44" i="11"/>
  <c r="G10" i="11"/>
  <c r="G44" i="11" s="1"/>
  <c r="E41" i="5"/>
  <c r="D125" i="38" s="1"/>
  <c r="C47" i="5"/>
  <c r="D40" i="6"/>
  <c r="I52" i="6"/>
  <c r="D26" i="7"/>
  <c r="L28" i="7"/>
  <c r="H16" i="7"/>
  <c r="L15" i="7" s="1"/>
  <c r="H19" i="7"/>
  <c r="H21" i="7" s="1"/>
  <c r="L20" i="7" s="1"/>
  <c r="L34" i="6"/>
  <c r="D32" i="6"/>
  <c r="D36" i="6" s="1"/>
  <c r="D27" i="6"/>
  <c r="L29" i="6"/>
  <c r="L24" i="5"/>
  <c r="C30" i="36" l="1"/>
  <c r="C73" i="36" s="1"/>
  <c r="Q73" i="36"/>
  <c r="D55" i="36"/>
  <c r="R30" i="38"/>
  <c r="Q30" i="36"/>
  <c r="R65" i="38"/>
  <c r="R69" i="38" s="1"/>
  <c r="R73" i="38" s="1"/>
  <c r="G104" i="33"/>
  <c r="G108" i="33" s="1"/>
  <c r="F60" i="19"/>
  <c r="F63" i="19" s="1"/>
  <c r="G27" i="28"/>
  <c r="G69" i="28" s="1"/>
  <c r="D55" i="33"/>
  <c r="Q65" i="38"/>
  <c r="Q69" i="38" s="1"/>
  <c r="Q73" i="38" s="1"/>
  <c r="F89" i="37"/>
  <c r="K100" i="37" s="1"/>
  <c r="F83" i="37"/>
  <c r="Q30" i="38"/>
  <c r="E19" i="36"/>
  <c r="E22" i="36" s="1"/>
  <c r="C29" i="28"/>
  <c r="C71" i="28" s="1"/>
  <c r="M30" i="33"/>
  <c r="O73" i="36"/>
  <c r="G71" i="38"/>
  <c r="E127" i="37"/>
  <c r="G111" i="38"/>
  <c r="G76" i="38" s="1"/>
  <c r="E121" i="37"/>
  <c r="E124" i="37" s="1"/>
  <c r="N65" i="38"/>
  <c r="N69" i="38" s="1"/>
  <c r="N73" i="38" s="1"/>
  <c r="L115" i="38"/>
  <c r="M65" i="38"/>
  <c r="M69" i="38" s="1"/>
  <c r="M73" i="38" s="1"/>
  <c r="O73" i="38"/>
  <c r="F65" i="38"/>
  <c r="D128" i="38"/>
  <c r="D131" i="38" s="1"/>
  <c r="D134" i="38" s="1"/>
  <c r="D175" i="38"/>
  <c r="C177" i="38"/>
  <c r="C168" i="38"/>
  <c r="C169" i="38" s="1"/>
  <c r="E104" i="38"/>
  <c r="E113" i="38" s="1"/>
  <c r="E174" i="38"/>
  <c r="N30" i="38"/>
  <c r="O30" i="38"/>
  <c r="F107" i="38"/>
  <c r="F111" i="38" s="1"/>
  <c r="F76" i="38" s="1"/>
  <c r="F28" i="38"/>
  <c r="F71" i="38" s="1"/>
  <c r="I30" i="38"/>
  <c r="I73" i="38" s="1"/>
  <c r="O30" i="36"/>
  <c r="D62" i="38"/>
  <c r="D22" i="38"/>
  <c r="G30" i="38"/>
  <c r="G73" i="38" s="1"/>
  <c r="H30" i="38"/>
  <c r="H73" i="38" s="1"/>
  <c r="E62" i="38"/>
  <c r="E22" i="38"/>
  <c r="N30" i="36"/>
  <c r="D22" i="36"/>
  <c r="D62" i="36"/>
  <c r="D65" i="36" s="1"/>
  <c r="G28" i="36"/>
  <c r="G71" i="36" s="1"/>
  <c r="G104" i="36"/>
  <c r="G108" i="36" s="1"/>
  <c r="F22" i="36"/>
  <c r="F62" i="36"/>
  <c r="F65" i="36" s="1"/>
  <c r="I28" i="36"/>
  <c r="I71" i="36" s="1"/>
  <c r="I104" i="36"/>
  <c r="I108" i="36" s="1"/>
  <c r="D50" i="15"/>
  <c r="H28" i="36"/>
  <c r="H71" i="36" s="1"/>
  <c r="H104" i="36"/>
  <c r="H108" i="36" s="1"/>
  <c r="D122" i="33"/>
  <c r="D125" i="33" s="1"/>
  <c r="D128" i="33" s="1"/>
  <c r="D131" i="33" s="1"/>
  <c r="D122" i="36"/>
  <c r="D125" i="36" s="1"/>
  <c r="D128" i="36" s="1"/>
  <c r="D131" i="36" s="1"/>
  <c r="E98" i="33"/>
  <c r="E101" i="33" s="1"/>
  <c r="E110" i="33" s="1"/>
  <c r="E98" i="36"/>
  <c r="E101" i="36" s="1"/>
  <c r="M30" i="36"/>
  <c r="G89" i="29"/>
  <c r="G85" i="29"/>
  <c r="H27" i="28"/>
  <c r="H69" i="28" s="1"/>
  <c r="F53" i="9"/>
  <c r="F55" i="9" s="1"/>
  <c r="I65" i="9" s="1"/>
  <c r="F51" i="9"/>
  <c r="F60" i="30"/>
  <c r="F63" i="30" s="1"/>
  <c r="E18" i="28"/>
  <c r="E21" i="28" s="1"/>
  <c r="D54" i="30"/>
  <c r="D18" i="28"/>
  <c r="D21" i="28" s="1"/>
  <c r="H30" i="33"/>
  <c r="H73" i="33" s="1"/>
  <c r="I30" i="33"/>
  <c r="I73" i="33" s="1"/>
  <c r="M73" i="33"/>
  <c r="F104" i="33"/>
  <c r="F108" i="33" s="1"/>
  <c r="F28" i="33"/>
  <c r="F71" i="33" s="1"/>
  <c r="N71" i="33"/>
  <c r="N73" i="33" s="1"/>
  <c r="N30" i="33"/>
  <c r="D62" i="33"/>
  <c r="D65" i="33" s="1"/>
  <c r="D22" i="33"/>
  <c r="G30" i="33"/>
  <c r="G73" i="33" s="1"/>
  <c r="N29" i="30"/>
  <c r="E22" i="33"/>
  <c r="E62" i="33"/>
  <c r="E65" i="33" s="1"/>
  <c r="O71" i="33"/>
  <c r="O73" i="33" s="1"/>
  <c r="O30" i="33"/>
  <c r="D54" i="25"/>
  <c r="E54" i="23"/>
  <c r="O29" i="30"/>
  <c r="O71" i="30"/>
  <c r="H102" i="30"/>
  <c r="H106" i="30" s="1"/>
  <c r="H27" i="30"/>
  <c r="H69" i="30" s="1"/>
  <c r="C29" i="30"/>
  <c r="C71" i="30" s="1"/>
  <c r="E96" i="28"/>
  <c r="E99" i="28" s="1"/>
  <c r="E108" i="28" s="1"/>
  <c r="E96" i="30"/>
  <c r="E99" i="30" s="1"/>
  <c r="D21" i="30"/>
  <c r="D60" i="30"/>
  <c r="D63" i="30" s="1"/>
  <c r="I27" i="30"/>
  <c r="I69" i="30" s="1"/>
  <c r="I102" i="30"/>
  <c r="I106" i="30" s="1"/>
  <c r="E54" i="30"/>
  <c r="E18" i="30"/>
  <c r="G27" i="30"/>
  <c r="G69" i="30" s="1"/>
  <c r="G102" i="30"/>
  <c r="G106" i="30" s="1"/>
  <c r="G52" i="6"/>
  <c r="E52" i="6" s="1"/>
  <c r="E125" i="38" s="1"/>
  <c r="D120" i="30"/>
  <c r="D123" i="30" s="1"/>
  <c r="D126" i="30" s="1"/>
  <c r="D129" i="30" s="1"/>
  <c r="D120" i="28"/>
  <c r="D123" i="28" s="1"/>
  <c r="D126" i="28" s="1"/>
  <c r="D129" i="28" s="1"/>
  <c r="N29" i="28"/>
  <c r="M69" i="30"/>
  <c r="M71" i="30" s="1"/>
  <c r="M29" i="30"/>
  <c r="N71" i="28"/>
  <c r="F27" i="30"/>
  <c r="F69" i="30" s="1"/>
  <c r="F102" i="30"/>
  <c r="F106" i="30" s="1"/>
  <c r="D18" i="23"/>
  <c r="D21" i="23" s="1"/>
  <c r="D102" i="23" s="1"/>
  <c r="D106" i="23" s="1"/>
  <c r="D110" i="23" s="1"/>
  <c r="M71" i="25"/>
  <c r="M71" i="28"/>
  <c r="M29" i="25"/>
  <c r="M29" i="28"/>
  <c r="F102" i="28"/>
  <c r="F106" i="28" s="1"/>
  <c r="F27" i="28"/>
  <c r="F69" i="28" s="1"/>
  <c r="I29" i="28"/>
  <c r="I71" i="28" s="1"/>
  <c r="D18" i="21"/>
  <c r="D21" i="21" s="1"/>
  <c r="H27" i="25"/>
  <c r="H69" i="25" s="1"/>
  <c r="H102" i="25"/>
  <c r="H106" i="25" s="1"/>
  <c r="E96" i="23"/>
  <c r="E99" i="23" s="1"/>
  <c r="E108" i="23" s="1"/>
  <c r="E96" i="25"/>
  <c r="E99" i="25" s="1"/>
  <c r="E108" i="25" s="1"/>
  <c r="F21" i="23"/>
  <c r="F102" i="23" s="1"/>
  <c r="F106" i="23" s="1"/>
  <c r="G27" i="25"/>
  <c r="G69" i="25" s="1"/>
  <c r="G102" i="25"/>
  <c r="G106" i="25" s="1"/>
  <c r="I27" i="25"/>
  <c r="I69" i="25" s="1"/>
  <c r="I102" i="25"/>
  <c r="I106" i="25" s="1"/>
  <c r="F102" i="25"/>
  <c r="F106" i="25" s="1"/>
  <c r="F27" i="25"/>
  <c r="F69" i="25" s="1"/>
  <c r="E54" i="25"/>
  <c r="E18" i="25"/>
  <c r="D60" i="25"/>
  <c r="D63" i="25" s="1"/>
  <c r="D21" i="25"/>
  <c r="C29" i="25"/>
  <c r="C71" i="25" s="1"/>
  <c r="L31" i="7"/>
  <c r="D31" i="7" s="1"/>
  <c r="D35" i="7" s="1"/>
  <c r="D37" i="7" s="1"/>
  <c r="E50" i="15"/>
  <c r="D18" i="19"/>
  <c r="D60" i="19" s="1"/>
  <c r="D63" i="19" s="1"/>
  <c r="E60" i="23"/>
  <c r="E63" i="23" s="1"/>
  <c r="E21" i="23"/>
  <c r="E102" i="23" s="1"/>
  <c r="E106" i="23" s="1"/>
  <c r="E18" i="19"/>
  <c r="E21" i="19" s="1"/>
  <c r="G29" i="23"/>
  <c r="G71" i="23" s="1"/>
  <c r="H29" i="23"/>
  <c r="H71" i="23" s="1"/>
  <c r="I29" i="23"/>
  <c r="I71" i="23" s="1"/>
  <c r="C29" i="21"/>
  <c r="C71" i="21" s="1"/>
  <c r="F27" i="21"/>
  <c r="F69" i="21" s="1"/>
  <c r="G27" i="21"/>
  <c r="G69" i="21" s="1"/>
  <c r="E96" i="19"/>
  <c r="E99" i="19" s="1"/>
  <c r="E96" i="21"/>
  <c r="E99" i="21" s="1"/>
  <c r="I27" i="21"/>
  <c r="I69" i="21" s="1"/>
  <c r="E54" i="21"/>
  <c r="E18" i="21"/>
  <c r="H27" i="21"/>
  <c r="H69" i="21" s="1"/>
  <c r="F51" i="11"/>
  <c r="E80" i="11"/>
  <c r="E83" i="11" s="1"/>
  <c r="I29" i="19"/>
  <c r="I71" i="19" s="1"/>
  <c r="H29" i="19"/>
  <c r="H71" i="19" s="1"/>
  <c r="G29" i="19"/>
  <c r="G71" i="19" s="1"/>
  <c r="F29" i="19"/>
  <c r="F71" i="19" s="1"/>
  <c r="E88" i="13"/>
  <c r="E91" i="13" s="1"/>
  <c r="E46" i="11"/>
  <c r="G25" i="15"/>
  <c r="G63" i="15" s="1"/>
  <c r="E88" i="15"/>
  <c r="E91" i="15" s="1"/>
  <c r="E86" i="12"/>
  <c r="E89" i="12" s="1"/>
  <c r="D18" i="13"/>
  <c r="D21" i="13" s="1"/>
  <c r="I23" i="15"/>
  <c r="I61" i="15" s="1"/>
  <c r="D21" i="7"/>
  <c r="C47" i="7" s="1"/>
  <c r="C53" i="7" s="1"/>
  <c r="F56" i="13"/>
  <c r="F59" i="13" s="1"/>
  <c r="E21" i="15"/>
  <c r="E56" i="15"/>
  <c r="E59" i="15" s="1"/>
  <c r="F23" i="15"/>
  <c r="F61" i="15" s="1"/>
  <c r="H23" i="13"/>
  <c r="H61" i="13" s="1"/>
  <c r="D21" i="15"/>
  <c r="D56" i="15"/>
  <c r="D59" i="15" s="1"/>
  <c r="E71" i="7"/>
  <c r="F125" i="38" s="1"/>
  <c r="F175" i="38" s="1"/>
  <c r="H23" i="15"/>
  <c r="H61" i="15" s="1"/>
  <c r="G25" i="13"/>
  <c r="G63" i="13" s="1"/>
  <c r="E50" i="13"/>
  <c r="F21" i="11"/>
  <c r="F55" i="11" s="1"/>
  <c r="F22" i="12"/>
  <c r="F24" i="12" s="1"/>
  <c r="F23" i="13"/>
  <c r="F61" i="13" s="1"/>
  <c r="D22" i="12"/>
  <c r="D59" i="12" s="1"/>
  <c r="E21" i="13"/>
  <c r="E56" i="13"/>
  <c r="E59" i="13" s="1"/>
  <c r="E49" i="12"/>
  <c r="E17" i="12"/>
  <c r="E20" i="12" s="1"/>
  <c r="F54" i="12"/>
  <c r="F57" i="12" s="1"/>
  <c r="G49" i="12"/>
  <c r="G17" i="12"/>
  <c r="G20" i="12" s="1"/>
  <c r="D54" i="12"/>
  <c r="D57" i="12" s="1"/>
  <c r="E19" i="11"/>
  <c r="E53" i="11" s="1"/>
  <c r="E51" i="11"/>
  <c r="G12" i="11"/>
  <c r="D19" i="11"/>
  <c r="D53" i="11" s="1"/>
  <c r="D51" i="11"/>
  <c r="E43" i="5"/>
  <c r="E47" i="5" s="1"/>
  <c r="L16" i="7"/>
  <c r="H18" i="8"/>
  <c r="C65" i="7"/>
  <c r="F97" i="38" s="1"/>
  <c r="L21" i="7"/>
  <c r="D38" i="6"/>
  <c r="D42" i="6" s="1"/>
  <c r="C56" i="6" s="1"/>
  <c r="E156" i="38" s="1"/>
  <c r="E62" i="36" l="1"/>
  <c r="E65" i="36" s="1"/>
  <c r="G29" i="28"/>
  <c r="G71" i="28" s="1"/>
  <c r="F85" i="37"/>
  <c r="D60" i="28"/>
  <c r="D63" i="28" s="1"/>
  <c r="G30" i="36"/>
  <c r="G73" i="36" s="1"/>
  <c r="E158" i="38"/>
  <c r="E160" i="38" s="1"/>
  <c r="E130" i="37"/>
  <c r="D65" i="38"/>
  <c r="E65" i="38"/>
  <c r="F104" i="38"/>
  <c r="F113" i="38" s="1"/>
  <c r="F115" i="38" s="1"/>
  <c r="F150" i="38"/>
  <c r="C179" i="38"/>
  <c r="D168" i="38"/>
  <c r="D169" i="38" s="1"/>
  <c r="D177" i="38"/>
  <c r="E128" i="38"/>
  <c r="E131" i="38" s="1"/>
  <c r="E134" i="38" s="1"/>
  <c r="E175" i="38"/>
  <c r="E107" i="38"/>
  <c r="E111" i="38" s="1"/>
  <c r="E76" i="38" s="1"/>
  <c r="E28" i="38"/>
  <c r="E71" i="38" s="1"/>
  <c r="F30" i="38"/>
  <c r="F73" i="38" s="1"/>
  <c r="D107" i="38"/>
  <c r="D111" i="38" s="1"/>
  <c r="D76" i="38" s="1"/>
  <c r="D28" i="38"/>
  <c r="D71" i="38" s="1"/>
  <c r="I30" i="36"/>
  <c r="I73" i="36" s="1"/>
  <c r="G91" i="29"/>
  <c r="I101" i="29" s="1"/>
  <c r="E122" i="33"/>
  <c r="E125" i="33" s="1"/>
  <c r="E128" i="33" s="1"/>
  <c r="E131" i="33" s="1"/>
  <c r="E122" i="36"/>
  <c r="E125" i="36" s="1"/>
  <c r="E128" i="36" s="1"/>
  <c r="E131" i="36" s="1"/>
  <c r="F94" i="33"/>
  <c r="F101" i="33" s="1"/>
  <c r="F110" i="33" s="1"/>
  <c r="F112" i="33" s="1"/>
  <c r="F94" i="36"/>
  <c r="F101" i="36" s="1"/>
  <c r="H30" i="36"/>
  <c r="H73" i="36" s="1"/>
  <c r="F104" i="36"/>
  <c r="F108" i="36" s="1"/>
  <c r="F28" i="36"/>
  <c r="F71" i="36" s="1"/>
  <c r="F122" i="33"/>
  <c r="F122" i="36"/>
  <c r="H29" i="28"/>
  <c r="H71" i="28" s="1"/>
  <c r="E104" i="36"/>
  <c r="E108" i="36" s="1"/>
  <c r="E28" i="36"/>
  <c r="E71" i="36" s="1"/>
  <c r="E60" i="28"/>
  <c r="E63" i="28" s="1"/>
  <c r="E110" i="36"/>
  <c r="D28" i="36"/>
  <c r="D71" i="36" s="1"/>
  <c r="D104" i="36"/>
  <c r="D108" i="36" s="1"/>
  <c r="D112" i="36" s="1"/>
  <c r="D28" i="33"/>
  <c r="D71" i="33" s="1"/>
  <c r="D104" i="33"/>
  <c r="D108" i="33" s="1"/>
  <c r="D112" i="33" s="1"/>
  <c r="D60" i="23"/>
  <c r="D63" i="23" s="1"/>
  <c r="E28" i="33"/>
  <c r="E71" i="33" s="1"/>
  <c r="E104" i="33"/>
  <c r="E108" i="33" s="1"/>
  <c r="E112" i="33" s="1"/>
  <c r="F30" i="33"/>
  <c r="F73" i="33" s="1"/>
  <c r="D60" i="21"/>
  <c r="D63" i="21" s="1"/>
  <c r="G29" i="30"/>
  <c r="G71" i="30" s="1"/>
  <c r="I29" i="30"/>
  <c r="I71" i="30" s="1"/>
  <c r="D33" i="8"/>
  <c r="D131" i="8" s="1"/>
  <c r="F120" i="28"/>
  <c r="F120" i="30"/>
  <c r="D27" i="30"/>
  <c r="D69" i="30" s="1"/>
  <c r="D102" i="30"/>
  <c r="D106" i="30" s="1"/>
  <c r="D110" i="30" s="1"/>
  <c r="E108" i="30"/>
  <c r="E60" i="30"/>
  <c r="E63" i="30" s="1"/>
  <c r="E21" i="30"/>
  <c r="F92" i="28"/>
  <c r="F99" i="28" s="1"/>
  <c r="F108" i="28" s="1"/>
  <c r="F110" i="28" s="1"/>
  <c r="F92" i="30"/>
  <c r="F99" i="30" s="1"/>
  <c r="F29" i="30"/>
  <c r="F71" i="30" s="1"/>
  <c r="H29" i="30"/>
  <c r="H71" i="30" s="1"/>
  <c r="E54" i="6"/>
  <c r="E58" i="6" s="1"/>
  <c r="E120" i="28"/>
  <c r="E123" i="28" s="1"/>
  <c r="E126" i="28" s="1"/>
  <c r="E129" i="28" s="1"/>
  <c r="E120" i="30"/>
  <c r="E123" i="30" s="1"/>
  <c r="E126" i="30" s="1"/>
  <c r="E129" i="30" s="1"/>
  <c r="L33" i="7"/>
  <c r="E110" i="23"/>
  <c r="F29" i="28"/>
  <c r="F71" i="28" s="1"/>
  <c r="D102" i="28"/>
  <c r="D106" i="28" s="1"/>
  <c r="D110" i="28" s="1"/>
  <c r="D27" i="28"/>
  <c r="D69" i="28" s="1"/>
  <c r="E102" i="28"/>
  <c r="E106" i="28" s="1"/>
  <c r="E110" i="28" s="1"/>
  <c r="E27" i="28"/>
  <c r="E69" i="28" s="1"/>
  <c r="F27" i="23"/>
  <c r="F69" i="23" s="1"/>
  <c r="I29" i="25"/>
  <c r="I71" i="25" s="1"/>
  <c r="G29" i="25"/>
  <c r="G71" i="25" s="1"/>
  <c r="F29" i="25"/>
  <c r="F71" i="25" s="1"/>
  <c r="D102" i="25"/>
  <c r="D106" i="25" s="1"/>
  <c r="D110" i="25" s="1"/>
  <c r="D27" i="25"/>
  <c r="D69" i="25" s="1"/>
  <c r="F92" i="23"/>
  <c r="F99" i="23" s="1"/>
  <c r="F108" i="23" s="1"/>
  <c r="F110" i="23" s="1"/>
  <c r="F92" i="25"/>
  <c r="F99" i="25" s="1"/>
  <c r="F108" i="25" s="1"/>
  <c r="F110" i="25" s="1"/>
  <c r="D21" i="19"/>
  <c r="D27" i="19" s="1"/>
  <c r="D69" i="19" s="1"/>
  <c r="E60" i="25"/>
  <c r="E63" i="25" s="1"/>
  <c r="E21" i="25"/>
  <c r="H29" i="25"/>
  <c r="H71" i="25" s="1"/>
  <c r="E60" i="19"/>
  <c r="E63" i="19" s="1"/>
  <c r="E27" i="23"/>
  <c r="E69" i="23" s="1"/>
  <c r="D27" i="23"/>
  <c r="D69" i="23" s="1"/>
  <c r="F29" i="21"/>
  <c r="F71" i="21" s="1"/>
  <c r="D27" i="21"/>
  <c r="D69" i="21" s="1"/>
  <c r="H29" i="21"/>
  <c r="H71" i="21" s="1"/>
  <c r="E60" i="21"/>
  <c r="E63" i="21" s="1"/>
  <c r="E21" i="21"/>
  <c r="G29" i="21"/>
  <c r="G71" i="21" s="1"/>
  <c r="I29" i="21"/>
  <c r="I71" i="21" s="1"/>
  <c r="F92" i="19"/>
  <c r="F99" i="19" s="1"/>
  <c r="F92" i="21"/>
  <c r="F99" i="21" s="1"/>
  <c r="D56" i="13"/>
  <c r="D59" i="13" s="1"/>
  <c r="E27" i="19"/>
  <c r="E69" i="19" s="1"/>
  <c r="E69" i="7"/>
  <c r="F124" i="38" s="1"/>
  <c r="F84" i="15"/>
  <c r="F91" i="15" s="1"/>
  <c r="I25" i="15"/>
  <c r="I63" i="15" s="1"/>
  <c r="H25" i="15"/>
  <c r="H63" i="15" s="1"/>
  <c r="E21" i="11"/>
  <c r="E55" i="11" s="1"/>
  <c r="H25" i="13"/>
  <c r="H63" i="13" s="1"/>
  <c r="F25" i="15"/>
  <c r="F63" i="15" s="1"/>
  <c r="D23" i="15"/>
  <c r="D61" i="15" s="1"/>
  <c r="E23" i="15"/>
  <c r="E61" i="15" s="1"/>
  <c r="F59" i="12"/>
  <c r="F84" i="13"/>
  <c r="F91" i="13" s="1"/>
  <c r="D24" i="12"/>
  <c r="D61" i="12" s="1"/>
  <c r="F25" i="13"/>
  <c r="F63" i="13" s="1"/>
  <c r="E22" i="12"/>
  <c r="E24" i="12" s="1"/>
  <c r="E23" i="13"/>
  <c r="E61" i="13" s="1"/>
  <c r="D23" i="13"/>
  <c r="D61" i="13" s="1"/>
  <c r="G22" i="12"/>
  <c r="G24" i="12" s="1"/>
  <c r="F61" i="12"/>
  <c r="F76" i="11"/>
  <c r="F83" i="11" s="1"/>
  <c r="F82" i="12"/>
  <c r="F89" i="12" s="1"/>
  <c r="E54" i="12"/>
  <c r="E57" i="12" s="1"/>
  <c r="G54" i="12"/>
  <c r="G57" i="12" s="1"/>
  <c r="D21" i="11"/>
  <c r="D55" i="11" s="1"/>
  <c r="G17" i="11"/>
  <c r="G46" i="11"/>
  <c r="H20" i="8"/>
  <c r="L19" i="8" s="1"/>
  <c r="H23" i="8"/>
  <c r="H25" i="8" s="1"/>
  <c r="L24" i="8" s="1"/>
  <c r="C58" i="6"/>
  <c r="D39" i="7"/>
  <c r="D41" i="7" s="1"/>
  <c r="C70" i="7" s="1"/>
  <c r="F156" i="38" s="1"/>
  <c r="E152" i="37" l="1"/>
  <c r="D95" i="8"/>
  <c r="E112" i="36"/>
  <c r="E115" i="38"/>
  <c r="D115" i="38"/>
  <c r="D179" i="38"/>
  <c r="F154" i="38"/>
  <c r="F158" i="38" s="1"/>
  <c r="F160" i="38" s="1"/>
  <c r="E168" i="38"/>
  <c r="E169" i="38" s="1"/>
  <c r="F128" i="38"/>
  <c r="F131" i="38" s="1"/>
  <c r="F173" i="38"/>
  <c r="E177" i="38"/>
  <c r="E30" i="38"/>
  <c r="E73" i="38" s="1"/>
  <c r="D30" i="38"/>
  <c r="D73" i="38" s="1"/>
  <c r="D30" i="36"/>
  <c r="D73" i="36" s="1"/>
  <c r="F30" i="36"/>
  <c r="F73" i="36" s="1"/>
  <c r="E30" i="36"/>
  <c r="E73" i="36" s="1"/>
  <c r="F110" i="36"/>
  <c r="F112" i="36" s="1"/>
  <c r="F121" i="33"/>
  <c r="F125" i="33" s="1"/>
  <c r="F128" i="33" s="1"/>
  <c r="F131" i="33" s="1"/>
  <c r="F121" i="36"/>
  <c r="F125" i="36" s="1"/>
  <c r="F128" i="36" s="1"/>
  <c r="F131" i="36" s="1"/>
  <c r="D114" i="8"/>
  <c r="D30" i="33"/>
  <c r="D73" i="33" s="1"/>
  <c r="E30" i="33"/>
  <c r="E73" i="33" s="1"/>
  <c r="F29" i="23"/>
  <c r="F71" i="23" s="1"/>
  <c r="E79" i="8"/>
  <c r="G125" i="38" s="1"/>
  <c r="G175" i="38" s="1"/>
  <c r="D29" i="30"/>
  <c r="D71" i="30" s="1"/>
  <c r="F108" i="30"/>
  <c r="F110" i="30" s="1"/>
  <c r="E27" i="30"/>
  <c r="E69" i="30" s="1"/>
  <c r="E102" i="30"/>
  <c r="E106" i="30" s="1"/>
  <c r="E110" i="30" s="1"/>
  <c r="D34" i="8"/>
  <c r="D97" i="8" s="1"/>
  <c r="F119" i="30"/>
  <c r="F123" i="30" s="1"/>
  <c r="F126" i="30" s="1"/>
  <c r="F129" i="30" s="1"/>
  <c r="F119" i="28"/>
  <c r="F123" i="28" s="1"/>
  <c r="F126" i="28" s="1"/>
  <c r="F129" i="28" s="1"/>
  <c r="E29" i="28"/>
  <c r="E71" i="28" s="1"/>
  <c r="D29" i="28"/>
  <c r="D71" i="28" s="1"/>
  <c r="D29" i="23"/>
  <c r="D71" i="23" s="1"/>
  <c r="D29" i="25"/>
  <c r="D71" i="25" s="1"/>
  <c r="E27" i="25"/>
  <c r="E69" i="25" s="1"/>
  <c r="E102" i="25"/>
  <c r="E106" i="25" s="1"/>
  <c r="E110" i="25" s="1"/>
  <c r="E29" i="23"/>
  <c r="E71" i="23" s="1"/>
  <c r="E59" i="12"/>
  <c r="E27" i="21"/>
  <c r="E69" i="21" s="1"/>
  <c r="D29" i="19"/>
  <c r="D71" i="19" s="1"/>
  <c r="D29" i="21"/>
  <c r="D71" i="21" s="1"/>
  <c r="C55" i="7"/>
  <c r="E65" i="7" s="1"/>
  <c r="E29" i="19"/>
  <c r="E71" i="19" s="1"/>
  <c r="E25" i="15"/>
  <c r="E63" i="15" s="1"/>
  <c r="D25" i="15"/>
  <c r="D63" i="15" s="1"/>
  <c r="D25" i="13"/>
  <c r="D63" i="13" s="1"/>
  <c r="E25" i="13"/>
  <c r="E63" i="13" s="1"/>
  <c r="G59" i="12"/>
  <c r="G61" i="12"/>
  <c r="E61" i="12"/>
  <c r="G51" i="11"/>
  <c r="G19" i="11"/>
  <c r="G53" i="11" s="1"/>
  <c r="L20" i="8"/>
  <c r="H15" i="9"/>
  <c r="C73" i="8"/>
  <c r="G97" i="38" s="1"/>
  <c r="L25" i="8"/>
  <c r="C73" i="7"/>
  <c r="D41" i="8"/>
  <c r="G73" i="8" l="1"/>
  <c r="F168" i="38"/>
  <c r="F169" i="38" s="1"/>
  <c r="F134" i="38"/>
  <c r="E179" i="38"/>
  <c r="G177" i="38"/>
  <c r="G104" i="38"/>
  <c r="G113" i="38" s="1"/>
  <c r="G115" i="38" s="1"/>
  <c r="G150" i="38"/>
  <c r="F177" i="38"/>
  <c r="G94" i="33"/>
  <c r="G101" i="33" s="1"/>
  <c r="G110" i="33" s="1"/>
  <c r="G112" i="33" s="1"/>
  <c r="G94" i="36"/>
  <c r="G101" i="36" s="1"/>
  <c r="G122" i="33"/>
  <c r="G122" i="36"/>
  <c r="E71" i="9"/>
  <c r="H125" i="38" s="1"/>
  <c r="H175" i="38" s="1"/>
  <c r="G120" i="28"/>
  <c r="G120" i="30"/>
  <c r="D37" i="8"/>
  <c r="D39" i="8" s="1"/>
  <c r="D43" i="8" s="1"/>
  <c r="C78" i="8" s="1"/>
  <c r="D133" i="8"/>
  <c r="D116" i="8"/>
  <c r="E77" i="8"/>
  <c r="G128" i="38" s="1"/>
  <c r="E29" i="30"/>
  <c r="E71" i="30" s="1"/>
  <c r="G92" i="28"/>
  <c r="G99" i="28" s="1"/>
  <c r="G92" i="30"/>
  <c r="G99" i="30" s="1"/>
  <c r="E67" i="7"/>
  <c r="E73" i="7" s="1"/>
  <c r="G92" i="23"/>
  <c r="G99" i="23" s="1"/>
  <c r="G108" i="23" s="1"/>
  <c r="G110" i="23" s="1"/>
  <c r="G92" i="25"/>
  <c r="G99" i="25" s="1"/>
  <c r="G108" i="25" s="1"/>
  <c r="G110" i="25" s="1"/>
  <c r="E29" i="25"/>
  <c r="E71" i="25" s="1"/>
  <c r="E73" i="8"/>
  <c r="G92" i="19"/>
  <c r="G99" i="19" s="1"/>
  <c r="G92" i="21"/>
  <c r="G99" i="21" s="1"/>
  <c r="E29" i="21"/>
  <c r="E71" i="21" s="1"/>
  <c r="G84" i="15"/>
  <c r="G91" i="15" s="1"/>
  <c r="E67" i="16"/>
  <c r="G21" i="11"/>
  <c r="G55" i="11" s="1"/>
  <c r="G84" i="13"/>
  <c r="G91" i="13" s="1"/>
  <c r="D104" i="8"/>
  <c r="G82" i="12"/>
  <c r="G89" i="12" s="1"/>
  <c r="H20" i="9"/>
  <c r="H22" i="9" s="1"/>
  <c r="L21" i="9" s="1"/>
  <c r="H17" i="9"/>
  <c r="L16" i="9" s="1"/>
  <c r="F179" i="38" l="1"/>
  <c r="E65" i="9"/>
  <c r="G65" i="10" s="1"/>
  <c r="G168" i="38"/>
  <c r="G169" i="38" s="1"/>
  <c r="C81" i="8"/>
  <c r="G156" i="38"/>
  <c r="G131" i="38"/>
  <c r="G134" i="38" s="1"/>
  <c r="H177" i="38"/>
  <c r="G154" i="38"/>
  <c r="H122" i="33"/>
  <c r="H122" i="36"/>
  <c r="G110" i="36"/>
  <c r="G112" i="36" s="1"/>
  <c r="G121" i="36"/>
  <c r="G125" i="36" s="1"/>
  <c r="G128" i="36" s="1"/>
  <c r="G131" i="36" s="1"/>
  <c r="E71" i="10"/>
  <c r="I125" i="38" s="1"/>
  <c r="I175" i="38" s="1"/>
  <c r="H120" i="28"/>
  <c r="L17" i="9"/>
  <c r="H15" i="10"/>
  <c r="H120" i="30"/>
  <c r="G121" i="33"/>
  <c r="G125" i="33" s="1"/>
  <c r="G128" i="33" s="1"/>
  <c r="G131" i="33" s="1"/>
  <c r="E69" i="16"/>
  <c r="E73" i="16" s="1"/>
  <c r="G119" i="30"/>
  <c r="G123" i="30" s="1"/>
  <c r="G126" i="30" s="1"/>
  <c r="G129" i="30" s="1"/>
  <c r="E69" i="9"/>
  <c r="G119" i="28"/>
  <c r="G123" i="28" s="1"/>
  <c r="G126" i="28" s="1"/>
  <c r="G129" i="28" s="1"/>
  <c r="G108" i="28"/>
  <c r="G110" i="28" s="1"/>
  <c r="G108" i="30"/>
  <c r="G110" i="30" s="1"/>
  <c r="G65" i="9"/>
  <c r="E75" i="8"/>
  <c r="E81" i="8" s="1"/>
  <c r="D42" i="9"/>
  <c r="D44" i="9" s="1"/>
  <c r="C70" i="9" s="1"/>
  <c r="D87" i="8"/>
  <c r="D89" i="8"/>
  <c r="D93" i="8" s="1"/>
  <c r="D99" i="8" s="1"/>
  <c r="D106" i="8"/>
  <c r="D110" i="8" s="1"/>
  <c r="D118" i="8" s="1"/>
  <c r="D123" i="8"/>
  <c r="D125" i="8" s="1"/>
  <c r="D129" i="8" s="1"/>
  <c r="D135" i="8" s="1"/>
  <c r="C65" i="9"/>
  <c r="H97" i="38" s="1"/>
  <c r="L22" i="9"/>
  <c r="E65" i="10" l="1"/>
  <c r="G95" i="18" s="1"/>
  <c r="E95" i="18" s="1"/>
  <c r="J168" i="38" s="1"/>
  <c r="J169" i="38" s="1"/>
  <c r="H168" i="38"/>
  <c r="H169" i="38" s="1"/>
  <c r="E67" i="9"/>
  <c r="E73" i="9" s="1"/>
  <c r="G179" i="38"/>
  <c r="G158" i="38"/>
  <c r="G160" i="38" s="1"/>
  <c r="D42" i="16"/>
  <c r="D44" i="16" s="1"/>
  <c r="C73" i="16" s="1"/>
  <c r="H156" i="38"/>
  <c r="H104" i="38"/>
  <c r="H113" i="38" s="1"/>
  <c r="H115" i="38" s="1"/>
  <c r="H150" i="38"/>
  <c r="I177" i="38"/>
  <c r="E69" i="10"/>
  <c r="I121" i="33" s="1"/>
  <c r="H128" i="38"/>
  <c r="I122" i="33"/>
  <c r="I122" i="36"/>
  <c r="H121" i="33"/>
  <c r="H125" i="33" s="1"/>
  <c r="H121" i="36"/>
  <c r="H125" i="36" s="1"/>
  <c r="H94" i="33"/>
  <c r="H101" i="33" s="1"/>
  <c r="H94" i="36"/>
  <c r="H101" i="36" s="1"/>
  <c r="E102" i="18"/>
  <c r="J125" i="38" s="1"/>
  <c r="J175" i="38" s="1"/>
  <c r="I120" i="30"/>
  <c r="I120" i="28"/>
  <c r="H119" i="28"/>
  <c r="H123" i="28" s="1"/>
  <c r="H20" i="10"/>
  <c r="H22" i="10" s="1"/>
  <c r="L21" i="10" s="1"/>
  <c r="H17" i="10"/>
  <c r="L16" i="10" s="1"/>
  <c r="H119" i="30"/>
  <c r="H123" i="30" s="1"/>
  <c r="H92" i="28"/>
  <c r="H99" i="28" s="1"/>
  <c r="H92" i="30"/>
  <c r="H99" i="30" s="1"/>
  <c r="H92" i="23"/>
  <c r="H99" i="23" s="1"/>
  <c r="H108" i="23" s="1"/>
  <c r="H110" i="23" s="1"/>
  <c r="H92" i="25"/>
  <c r="H99" i="25" s="1"/>
  <c r="H108" i="25" s="1"/>
  <c r="H110" i="25" s="1"/>
  <c r="D42" i="10"/>
  <c r="D44" i="10" s="1"/>
  <c r="C70" i="10" s="1"/>
  <c r="I156" i="38" s="1"/>
  <c r="H92" i="19"/>
  <c r="H99" i="19" s="1"/>
  <c r="H92" i="21"/>
  <c r="H99" i="21" s="1"/>
  <c r="D116" i="20"/>
  <c r="D121" i="20" s="1"/>
  <c r="D125" i="20" s="1"/>
  <c r="D131" i="20" s="1"/>
  <c r="H84" i="15"/>
  <c r="H91" i="15" s="1"/>
  <c r="C73" i="9"/>
  <c r="H84" i="13"/>
  <c r="H91" i="13" s="1"/>
  <c r="C59" i="12"/>
  <c r="C61" i="12"/>
  <c r="I168" i="38" l="1"/>
  <c r="I169" i="38" s="1"/>
  <c r="E67" i="10"/>
  <c r="H179" i="38"/>
  <c r="E96" i="18"/>
  <c r="I119" i="28"/>
  <c r="I123" i="28" s="1"/>
  <c r="G91" i="20"/>
  <c r="E91" i="20" s="1"/>
  <c r="K168" i="38" s="1"/>
  <c r="K169" i="38" s="1"/>
  <c r="I125" i="33"/>
  <c r="H128" i="33"/>
  <c r="H131" i="33" s="1"/>
  <c r="I121" i="36"/>
  <c r="I125" i="36" s="1"/>
  <c r="E73" i="10"/>
  <c r="I119" i="30"/>
  <c r="I123" i="30" s="1"/>
  <c r="H131" i="38"/>
  <c r="H134" i="38" s="1"/>
  <c r="H154" i="38"/>
  <c r="H158" i="38" s="1"/>
  <c r="H160" i="38" s="1"/>
  <c r="J177" i="38"/>
  <c r="J179" i="38" s="1"/>
  <c r="E100" i="18"/>
  <c r="I128" i="38"/>
  <c r="H128" i="36"/>
  <c r="H131" i="36" s="1"/>
  <c r="H110" i="36"/>
  <c r="H112" i="36" s="1"/>
  <c r="J122" i="33"/>
  <c r="J122" i="36"/>
  <c r="H110" i="33"/>
  <c r="H112" i="33" s="1"/>
  <c r="E98" i="20"/>
  <c r="K125" i="38" s="1"/>
  <c r="K175" i="38" s="1"/>
  <c r="J120" i="28"/>
  <c r="J120" i="30"/>
  <c r="H126" i="28"/>
  <c r="H129" i="28" s="1"/>
  <c r="H108" i="28"/>
  <c r="H110" i="28" s="1"/>
  <c r="L17" i="10"/>
  <c r="H30" i="18"/>
  <c r="L22" i="10"/>
  <c r="C65" i="10"/>
  <c r="H126" i="30"/>
  <c r="H129" i="30" s="1"/>
  <c r="H108" i="30"/>
  <c r="H110" i="30" s="1"/>
  <c r="D72" i="18"/>
  <c r="D74" i="18" s="1"/>
  <c r="C103" i="18" s="1"/>
  <c r="D79" i="9"/>
  <c r="D81" i="9" s="1"/>
  <c r="D85" i="9" s="1"/>
  <c r="D91" i="9" s="1"/>
  <c r="I179" i="38" l="1"/>
  <c r="E105" i="18"/>
  <c r="G91" i="22"/>
  <c r="E91" i="22" s="1"/>
  <c r="L168" i="38" s="1"/>
  <c r="L169" i="38" s="1"/>
  <c r="E92" i="20"/>
  <c r="C105" i="18"/>
  <c r="J156" i="38"/>
  <c r="K177" i="38"/>
  <c r="K179" i="38" s="1"/>
  <c r="I94" i="36"/>
  <c r="I101" i="36" s="1"/>
  <c r="I128" i="36" s="1"/>
  <c r="I131" i="36" s="1"/>
  <c r="I97" i="38"/>
  <c r="E96" i="20"/>
  <c r="J128" i="38"/>
  <c r="J131" i="38" s="1"/>
  <c r="J121" i="36"/>
  <c r="J125" i="36" s="1"/>
  <c r="J128" i="36" s="1"/>
  <c r="J119" i="28"/>
  <c r="J123" i="28" s="1"/>
  <c r="J126" i="28" s="1"/>
  <c r="J121" i="33"/>
  <c r="J125" i="33" s="1"/>
  <c r="J128" i="33" s="1"/>
  <c r="J119" i="30"/>
  <c r="J123" i="30" s="1"/>
  <c r="J126" i="30" s="1"/>
  <c r="K122" i="33"/>
  <c r="K122" i="36"/>
  <c r="K120" i="28"/>
  <c r="K120" i="30"/>
  <c r="E98" i="22"/>
  <c r="L125" i="38" s="1"/>
  <c r="L175" i="38" s="1"/>
  <c r="H32" i="18"/>
  <c r="L31" i="18" s="1"/>
  <c r="L32" i="18" s="1"/>
  <c r="H35" i="18"/>
  <c r="H37" i="18" s="1"/>
  <c r="L36" i="18" s="1"/>
  <c r="L37" i="18" s="1"/>
  <c r="I94" i="33"/>
  <c r="I101" i="33" s="1"/>
  <c r="I92" i="19"/>
  <c r="I99" i="19" s="1"/>
  <c r="D113" i="18" s="1"/>
  <c r="D120" i="18" s="1"/>
  <c r="I92" i="21"/>
  <c r="I99" i="21" s="1"/>
  <c r="I84" i="15"/>
  <c r="I91" i="15" s="1"/>
  <c r="I92" i="23"/>
  <c r="I99" i="23" s="1"/>
  <c r="I92" i="28"/>
  <c r="I99" i="28" s="1"/>
  <c r="I92" i="25"/>
  <c r="I99" i="25" s="1"/>
  <c r="I92" i="30"/>
  <c r="I99" i="30" s="1"/>
  <c r="C73" i="10"/>
  <c r="D68" i="20"/>
  <c r="D70" i="20" s="1"/>
  <c r="C99" i="20" s="1"/>
  <c r="K156" i="38" s="1"/>
  <c r="D125" i="18" l="1"/>
  <c r="D129" i="18" s="1"/>
  <c r="D135" i="18" s="1"/>
  <c r="E92" i="22"/>
  <c r="G99" i="24"/>
  <c r="E99" i="24" s="1"/>
  <c r="M168" i="38" s="1"/>
  <c r="M169" i="38" s="1"/>
  <c r="J110" i="36"/>
  <c r="J112" i="36" s="1"/>
  <c r="I110" i="36"/>
  <c r="I112" i="36" s="1"/>
  <c r="J158" i="38"/>
  <c r="J160" i="38" s="1"/>
  <c r="J131" i="36"/>
  <c r="K158" i="38"/>
  <c r="K160" i="38" s="1"/>
  <c r="I104" i="38"/>
  <c r="I113" i="38" s="1"/>
  <c r="I115" i="38" s="1"/>
  <c r="I150" i="38"/>
  <c r="L177" i="38"/>
  <c r="L179" i="38" s="1"/>
  <c r="E96" i="22"/>
  <c r="E101" i="22" s="1"/>
  <c r="K128" i="38"/>
  <c r="K131" i="38" s="1"/>
  <c r="K134" i="38" s="1"/>
  <c r="K121" i="33"/>
  <c r="K125" i="33" s="1"/>
  <c r="K128" i="33" s="1"/>
  <c r="K131" i="33" s="1"/>
  <c r="K119" i="30"/>
  <c r="K123" i="30" s="1"/>
  <c r="K126" i="30" s="1"/>
  <c r="K129" i="30" s="1"/>
  <c r="K121" i="36"/>
  <c r="K125" i="36" s="1"/>
  <c r="K128" i="36" s="1"/>
  <c r="K131" i="36" s="1"/>
  <c r="K119" i="28"/>
  <c r="K123" i="28" s="1"/>
  <c r="K126" i="28" s="1"/>
  <c r="K129" i="28" s="1"/>
  <c r="E101" i="20"/>
  <c r="L122" i="33"/>
  <c r="L122" i="36"/>
  <c r="E108" i="24"/>
  <c r="M125" i="38" s="1"/>
  <c r="M175" i="38" s="1"/>
  <c r="L120" i="28"/>
  <c r="L120" i="30"/>
  <c r="I126" i="28"/>
  <c r="J108" i="28"/>
  <c r="J110" i="28" s="1"/>
  <c r="I108" i="28"/>
  <c r="I110" i="28" s="1"/>
  <c r="I128" i="33"/>
  <c r="I110" i="33"/>
  <c r="I112" i="33" s="1"/>
  <c r="J110" i="33"/>
  <c r="J112" i="33" s="1"/>
  <c r="I108" i="23"/>
  <c r="I110" i="23" s="1"/>
  <c r="J108" i="23"/>
  <c r="J110" i="23" s="1"/>
  <c r="D79" i="10"/>
  <c r="D81" i="10"/>
  <c r="D85" i="10" s="1"/>
  <c r="D91" i="10" s="1"/>
  <c r="I126" i="30"/>
  <c r="I108" i="30"/>
  <c r="I110" i="30" s="1"/>
  <c r="J108" i="30"/>
  <c r="J110" i="30" s="1"/>
  <c r="I108" i="25"/>
  <c r="I110" i="25" s="1"/>
  <c r="J108" i="25"/>
  <c r="J110" i="25" s="1"/>
  <c r="C101" i="20"/>
  <c r="D68" i="22"/>
  <c r="D70" i="22" s="1"/>
  <c r="C99" i="22" s="1"/>
  <c r="L156" i="38" s="1"/>
  <c r="H100" i="27" l="1"/>
  <c r="F100" i="27" s="1"/>
  <c r="N168" i="38" s="1"/>
  <c r="N169" i="38" s="1"/>
  <c r="E101" i="24"/>
  <c r="J113" i="38"/>
  <c r="J115" i="38" s="1"/>
  <c r="I131" i="38"/>
  <c r="I134" i="38" s="1"/>
  <c r="L158" i="38"/>
  <c r="L160" i="38" s="1"/>
  <c r="I154" i="38"/>
  <c r="I158" i="38" s="1"/>
  <c r="I160" i="38" s="1"/>
  <c r="M177" i="38"/>
  <c r="M179" i="38" s="1"/>
  <c r="E106" i="24"/>
  <c r="L128" i="38"/>
  <c r="L131" i="38" s="1"/>
  <c r="L134" i="38" s="1"/>
  <c r="L121" i="36"/>
  <c r="L125" i="36" s="1"/>
  <c r="L128" i="36" s="1"/>
  <c r="L131" i="36" s="1"/>
  <c r="L119" i="30"/>
  <c r="L123" i="30" s="1"/>
  <c r="L126" i="30" s="1"/>
  <c r="L129" i="30" s="1"/>
  <c r="L119" i="28"/>
  <c r="L123" i="28" s="1"/>
  <c r="L126" i="28" s="1"/>
  <c r="L129" i="28" s="1"/>
  <c r="L121" i="33"/>
  <c r="L125" i="33" s="1"/>
  <c r="L128" i="33" s="1"/>
  <c r="L131" i="33" s="1"/>
  <c r="M120" i="28"/>
  <c r="C158" i="28" s="1"/>
  <c r="M122" i="36"/>
  <c r="M122" i="33"/>
  <c r="M120" i="30"/>
  <c r="C158" i="30" s="1"/>
  <c r="F110" i="27"/>
  <c r="N125" i="38" s="1"/>
  <c r="N175" i="38" s="1"/>
  <c r="I131" i="33"/>
  <c r="J131" i="33"/>
  <c r="I129" i="30"/>
  <c r="J129" i="30"/>
  <c r="J129" i="28"/>
  <c r="I129" i="28"/>
  <c r="C101" i="22"/>
  <c r="C75" i="24"/>
  <c r="C77" i="24" s="1"/>
  <c r="C109" i="24" s="1"/>
  <c r="M156" i="38" s="1"/>
  <c r="F102" i="27" l="1"/>
  <c r="G101" i="29"/>
  <c r="E101" i="29" s="1"/>
  <c r="O168" i="38" s="1"/>
  <c r="O169" i="38" s="1"/>
  <c r="E111" i="24"/>
  <c r="J134" i="38"/>
  <c r="M158" i="38"/>
  <c r="M160" i="38" s="1"/>
  <c r="N177" i="38"/>
  <c r="N179" i="38" s="1"/>
  <c r="F108" i="27"/>
  <c r="M128" i="38"/>
  <c r="M131" i="38" s="1"/>
  <c r="M134" i="38" s="1"/>
  <c r="M119" i="28"/>
  <c r="M119" i="30"/>
  <c r="M121" i="33"/>
  <c r="M125" i="33" s="1"/>
  <c r="M128" i="33" s="1"/>
  <c r="M131" i="33" s="1"/>
  <c r="M121" i="36"/>
  <c r="M125" i="36" s="1"/>
  <c r="M128" i="36" s="1"/>
  <c r="M131" i="36" s="1"/>
  <c r="N120" i="30"/>
  <c r="D158" i="30" s="1"/>
  <c r="N122" i="36"/>
  <c r="E111" i="29"/>
  <c r="N122" i="33"/>
  <c r="C156" i="33" s="1"/>
  <c r="N120" i="28"/>
  <c r="D158" i="28" s="1"/>
  <c r="C111" i="24"/>
  <c r="C76" i="27"/>
  <c r="C78" i="27" s="1"/>
  <c r="C114" i="27" s="1"/>
  <c r="N156" i="38" s="1"/>
  <c r="F116" i="27" l="1"/>
  <c r="M123" i="30"/>
  <c r="M126" i="30" s="1"/>
  <c r="M129" i="30" s="1"/>
  <c r="C157" i="30"/>
  <c r="C161" i="30" s="1"/>
  <c r="C164" i="30" s="1"/>
  <c r="M123" i="28"/>
  <c r="M126" i="28" s="1"/>
  <c r="M129" i="28" s="1"/>
  <c r="C157" i="28"/>
  <c r="C161" i="28" s="1"/>
  <c r="C164" i="28" s="1"/>
  <c r="I101" i="32"/>
  <c r="G101" i="32" s="1"/>
  <c r="P168" i="38" s="1"/>
  <c r="E103" i="29"/>
  <c r="F112" i="27"/>
  <c r="N158" i="38"/>
  <c r="N160" i="38" s="1"/>
  <c r="O122" i="36"/>
  <c r="C156" i="36" s="1"/>
  <c r="O125" i="38"/>
  <c r="O175" i="38" s="1"/>
  <c r="E109" i="29"/>
  <c r="N128" i="38"/>
  <c r="N131" i="38" s="1"/>
  <c r="N134" i="38" s="1"/>
  <c r="N119" i="28"/>
  <c r="N119" i="30"/>
  <c r="N121" i="36"/>
  <c r="N125" i="36" s="1"/>
  <c r="N128" i="36" s="1"/>
  <c r="N131" i="36" s="1"/>
  <c r="N121" i="33"/>
  <c r="O122" i="33"/>
  <c r="D156" i="33" s="1"/>
  <c r="O120" i="30"/>
  <c r="E158" i="30" s="1"/>
  <c r="G109" i="32"/>
  <c r="P125" i="38" s="1"/>
  <c r="P175" i="38" s="1"/>
  <c r="C204" i="38" s="1"/>
  <c r="C207" i="38" s="1"/>
  <c r="C210" i="38" s="1"/>
  <c r="C226" i="38" s="1"/>
  <c r="C116" i="27"/>
  <c r="C77" i="29"/>
  <c r="C79" i="29" s="1"/>
  <c r="C115" i="29" s="1"/>
  <c r="O156" i="38" s="1"/>
  <c r="N125" i="33" l="1"/>
  <c r="N128" i="33" s="1"/>
  <c r="N131" i="33" s="1"/>
  <c r="C155" i="33"/>
  <c r="C159" i="33" s="1"/>
  <c r="C162" i="33" s="1"/>
  <c r="N123" i="28"/>
  <c r="N126" i="28" s="1"/>
  <c r="N129" i="28" s="1"/>
  <c r="I132" i="27" s="1"/>
  <c r="I134" i="27" s="1"/>
  <c r="I139" i="27" s="1"/>
  <c r="D157" i="28"/>
  <c r="D161" i="28" s="1"/>
  <c r="D164" i="28" s="1"/>
  <c r="F85" i="35"/>
  <c r="N123" i="30"/>
  <c r="N126" i="30" s="1"/>
  <c r="N129" i="30" s="1"/>
  <c r="D157" i="30"/>
  <c r="D161" i="30" s="1"/>
  <c r="D164" i="30" s="1"/>
  <c r="I100" i="35"/>
  <c r="G100" i="35" s="1"/>
  <c r="G101" i="35" s="1"/>
  <c r="G102" i="32"/>
  <c r="E117" i="29"/>
  <c r="O158" i="38"/>
  <c r="O160" i="38" s="1"/>
  <c r="P177" i="38"/>
  <c r="O177" i="38"/>
  <c r="O179" i="38" s="1"/>
  <c r="G107" i="32"/>
  <c r="G111" i="32" s="1"/>
  <c r="O128" i="38"/>
  <c r="O131" i="38" s="1"/>
  <c r="O134" i="38" s="1"/>
  <c r="O121" i="36"/>
  <c r="O121" i="33"/>
  <c r="O119" i="30"/>
  <c r="E113" i="29"/>
  <c r="G108" i="35"/>
  <c r="G109" i="37" s="1"/>
  <c r="R125" i="38" s="1"/>
  <c r="R175" i="38" s="1"/>
  <c r="E204" i="38" s="1"/>
  <c r="P122" i="33"/>
  <c r="E156" i="33" s="1"/>
  <c r="P122" i="36"/>
  <c r="D156" i="36" s="1"/>
  <c r="C117" i="29"/>
  <c r="C77" i="32"/>
  <c r="C79" i="32" s="1"/>
  <c r="C113" i="32" s="1"/>
  <c r="P156" i="38" s="1"/>
  <c r="P169" i="38" l="1"/>
  <c r="C217" i="38"/>
  <c r="Q169" i="38"/>
  <c r="D217" i="38"/>
  <c r="D220" i="38" s="1"/>
  <c r="D224" i="38" s="1"/>
  <c r="O125" i="36"/>
  <c r="O128" i="36" s="1"/>
  <c r="O131" i="36" s="1"/>
  <c r="C155" i="36"/>
  <c r="C159" i="36" s="1"/>
  <c r="C162" i="36" s="1"/>
  <c r="O125" i="33"/>
  <c r="O128" i="33" s="1"/>
  <c r="O131" i="33" s="1"/>
  <c r="D155" i="33"/>
  <c r="D159" i="33" s="1"/>
  <c r="D162" i="33" s="1"/>
  <c r="C230" i="38"/>
  <c r="C220" i="38"/>
  <c r="C224" i="38" s="1"/>
  <c r="C228" i="38" s="1"/>
  <c r="P179" i="38"/>
  <c r="I100" i="37"/>
  <c r="G100" i="37" s="1"/>
  <c r="G101" i="37" s="1"/>
  <c r="E217" i="38" s="1"/>
  <c r="O123" i="30"/>
  <c r="O126" i="30" s="1"/>
  <c r="O129" i="30" s="1"/>
  <c r="I133" i="29" s="1"/>
  <c r="I135" i="29" s="1"/>
  <c r="I140" i="29" s="1"/>
  <c r="E157" i="30"/>
  <c r="E161" i="30" s="1"/>
  <c r="E164" i="30" s="1"/>
  <c r="Q168" i="38"/>
  <c r="P158" i="38"/>
  <c r="P160" i="38" s="1"/>
  <c r="P128" i="38"/>
  <c r="P131" i="38" s="1"/>
  <c r="P134" i="38" s="1"/>
  <c r="P121" i="33"/>
  <c r="P121" i="36"/>
  <c r="G106" i="35"/>
  <c r="C65" i="37" s="1"/>
  <c r="C68" i="37" s="1"/>
  <c r="Q122" i="36"/>
  <c r="E156" i="36" s="1"/>
  <c r="Q125" i="38"/>
  <c r="Q175" i="38" s="1"/>
  <c r="D204" i="38" s="1"/>
  <c r="G115" i="32"/>
  <c r="C115" i="32"/>
  <c r="C76" i="35"/>
  <c r="C78" i="35" s="1"/>
  <c r="C112" i="35" s="1"/>
  <c r="P125" i="36" l="1"/>
  <c r="P128" i="36" s="1"/>
  <c r="P131" i="36" s="1"/>
  <c r="D155" i="36"/>
  <c r="D159" i="36" s="1"/>
  <c r="D162" i="36" s="1"/>
  <c r="R169" i="38"/>
  <c r="G105" i="37"/>
  <c r="E220" i="38"/>
  <c r="E224" i="38" s="1"/>
  <c r="R168" i="38"/>
  <c r="P125" i="33"/>
  <c r="P128" i="33" s="1"/>
  <c r="P131" i="33" s="1"/>
  <c r="C132" i="32" s="1"/>
  <c r="C134" i="32" s="1"/>
  <c r="C140" i="32" s="1"/>
  <c r="C148" i="32" s="1"/>
  <c r="E155" i="33"/>
  <c r="E159" i="33" s="1"/>
  <c r="E162" i="33" s="1"/>
  <c r="G107" i="37"/>
  <c r="G115" i="37" s="1"/>
  <c r="C72" i="37"/>
  <c r="C74" i="37" s="1"/>
  <c r="C114" i="35"/>
  <c r="Q156" i="38"/>
  <c r="C76" i="37"/>
  <c r="Q121" i="36"/>
  <c r="Q124" i="38"/>
  <c r="G114" i="35"/>
  <c r="G110" i="35"/>
  <c r="D230" i="38" l="1"/>
  <c r="Q125" i="36"/>
  <c r="Q128" i="36" s="1"/>
  <c r="Q131" i="36" s="1"/>
  <c r="C131" i="35" s="1"/>
  <c r="C133" i="35" s="1"/>
  <c r="C139" i="35" s="1"/>
  <c r="C147" i="35" s="1"/>
  <c r="E155" i="36"/>
  <c r="E159" i="36" s="1"/>
  <c r="E162" i="36" s="1"/>
  <c r="C78" i="37"/>
  <c r="C113" i="37" s="1"/>
  <c r="E150" i="37" s="1"/>
  <c r="R124" i="38"/>
  <c r="G111" i="37"/>
  <c r="Q158" i="38"/>
  <c r="Q160" i="38" s="1"/>
  <c r="Q128" i="38"/>
  <c r="Q131" i="38" s="1"/>
  <c r="Q134" i="38" s="1"/>
  <c r="Q173" i="38"/>
  <c r="D203" i="38" s="1"/>
  <c r="D207" i="38" s="1"/>
  <c r="D210" i="38" s="1"/>
  <c r="D226" i="38" s="1"/>
  <c r="D228" i="38" s="1"/>
  <c r="R156" i="38" l="1"/>
  <c r="C115" i="37"/>
  <c r="R173" i="38"/>
  <c r="R128" i="38"/>
  <c r="R131" i="38" s="1"/>
  <c r="Q177" i="38"/>
  <c r="Q179" i="38" s="1"/>
  <c r="E143" i="37" l="1"/>
  <c r="E203" i="38"/>
  <c r="E207" i="38" s="1"/>
  <c r="E210" i="38" s="1"/>
  <c r="E226" i="38" s="1"/>
  <c r="E228" i="38" s="1"/>
  <c r="E230" i="38"/>
  <c r="R158" i="38"/>
  <c r="R160" i="38" s="1"/>
  <c r="E132" i="37"/>
  <c r="E134" i="37" s="1"/>
  <c r="E140" i="37" s="1"/>
  <c r="R134" i="38"/>
  <c r="C132" i="37" s="1"/>
  <c r="C134" i="37" s="1"/>
  <c r="C140" i="37" s="1"/>
  <c r="C148" i="37" s="1"/>
  <c r="R177" i="38"/>
  <c r="R179" i="38" s="1"/>
  <c r="E148" i="37" l="1"/>
</calcChain>
</file>

<file path=xl/sharedStrings.xml><?xml version="1.0" encoding="utf-8"?>
<sst xmlns="http://schemas.openxmlformats.org/spreadsheetml/2006/main" count="3225" uniqueCount="383">
  <si>
    <t>Bilan</t>
  </si>
  <si>
    <t xml:space="preserve"> </t>
  </si>
  <si>
    <t>B2C</t>
  </si>
  <si>
    <t>B2B</t>
  </si>
  <si>
    <t>Fin</t>
  </si>
  <si>
    <t>Total Actif</t>
  </si>
  <si>
    <t>Total</t>
  </si>
  <si>
    <t>=</t>
  </si>
  <si>
    <t xml:space="preserve"> +</t>
  </si>
  <si>
    <t>Sorties</t>
  </si>
  <si>
    <t>Stocks</t>
  </si>
  <si>
    <t xml:space="preserve"> - Administration</t>
  </si>
  <si>
    <t>Résultat net</t>
  </si>
  <si>
    <t xml:space="preserve"> - R&amp;D</t>
  </si>
  <si>
    <t>€</t>
  </si>
  <si>
    <t>PVB2C</t>
  </si>
  <si>
    <t>PVB2B</t>
  </si>
  <si>
    <t>PAP</t>
  </si>
  <si>
    <t>TIS</t>
  </si>
  <si>
    <t>Résultat d'exploitation</t>
  </si>
  <si>
    <t xml:space="preserve"> (Impôt)</t>
  </si>
  <si>
    <t>P&amp;L base 100</t>
  </si>
  <si>
    <t>Résultat courant d'exploitation</t>
  </si>
  <si>
    <t xml:space="preserve"> =</t>
  </si>
  <si>
    <t>Résultat exceptionnel</t>
  </si>
  <si>
    <t>Production</t>
  </si>
  <si>
    <t>Total encaissements</t>
  </si>
  <si>
    <t xml:space="preserve"> (Frais financiers)</t>
  </si>
  <si>
    <t>Résultat avant impôts</t>
  </si>
  <si>
    <t>EBITDA</t>
  </si>
  <si>
    <t>avril   +</t>
  </si>
  <si>
    <t>mai</t>
  </si>
  <si>
    <t>NA</t>
  </si>
  <si>
    <t>PAR</t>
  </si>
  <si>
    <t>Dilution</t>
  </si>
  <si>
    <t>Administration</t>
  </si>
  <si>
    <t>R&amp;D</t>
  </si>
  <si>
    <t>MAN</t>
  </si>
  <si>
    <t>MKT</t>
  </si>
  <si>
    <t>ING</t>
  </si>
  <si>
    <t>ADOP</t>
  </si>
  <si>
    <t>Manager</t>
  </si>
  <si>
    <t>CMP</t>
  </si>
  <si>
    <t>novembre</t>
  </si>
  <si>
    <t>octobre +</t>
  </si>
  <si>
    <t>in fine</t>
  </si>
  <si>
    <t xml:space="preserve">  *  CRU  </t>
  </si>
  <si>
    <t>Parameters</t>
  </si>
  <si>
    <t>Value</t>
  </si>
  <si>
    <t>Name</t>
  </si>
  <si>
    <t>Selling price B2C</t>
  </si>
  <si>
    <t>Selling price B2B</t>
  </si>
  <si>
    <t>Product purchasing price</t>
  </si>
  <si>
    <t>Income Tax Rate</t>
  </si>
  <si>
    <t>Number of shares</t>
  </si>
  <si>
    <t>Par value of a share</t>
  </si>
  <si>
    <t>Cost of a manager</t>
  </si>
  <si>
    <t>Cost of a sales person</t>
  </si>
  <si>
    <t>Cost of administrative / operator</t>
  </si>
  <si>
    <t>Cost of an engineer R&amp;D / production</t>
  </si>
  <si>
    <t>Assets</t>
  </si>
  <si>
    <t>Equity</t>
  </si>
  <si>
    <t>Capital</t>
  </si>
  <si>
    <t>Cash</t>
  </si>
  <si>
    <t>P&amp;L</t>
  </si>
  <si>
    <t>Sales</t>
  </si>
  <si>
    <t xml:space="preserve"> (Cost of sales)</t>
  </si>
  <si>
    <t>Gross margin</t>
  </si>
  <si>
    <t xml:space="preserve"> (Selling, General &amp; Administrative)</t>
  </si>
  <si>
    <t>Profit of the period  (September)</t>
  </si>
  <si>
    <t>units at</t>
  </si>
  <si>
    <t>$ / unit</t>
  </si>
  <si>
    <t>Change in cash position</t>
  </si>
  <si>
    <t>Cash from sales</t>
  </si>
  <si>
    <t>Cash outlays</t>
  </si>
  <si>
    <t xml:space="preserve"> - Salary</t>
  </si>
  <si>
    <t>Total cash outlays</t>
  </si>
  <si>
    <t>Net change in cash</t>
  </si>
  <si>
    <t>Cash - beginning of the period</t>
  </si>
  <si>
    <t>Cash - end of the period</t>
  </si>
  <si>
    <t>Balance sheet</t>
  </si>
  <si>
    <t>Profit September</t>
  </si>
  <si>
    <t>Shareholders' Equity</t>
  </si>
  <si>
    <t>Profit of the period  (October)</t>
  </si>
  <si>
    <t>Equity &amp; Liabilities</t>
  </si>
  <si>
    <t>Retained Earnings</t>
  </si>
  <si>
    <t>Accounts Payable</t>
  </si>
  <si>
    <t>Total Equity &amp; Liabilities</t>
  </si>
  <si>
    <t>Total Assets</t>
  </si>
  <si>
    <t>Accounts Receivable</t>
  </si>
  <si>
    <t>End</t>
  </si>
  <si>
    <t>September   +     October</t>
  </si>
  <si>
    <t>Payment</t>
  </si>
  <si>
    <t>30 days</t>
  </si>
  <si>
    <t>Begin</t>
  </si>
  <si>
    <t>In-flow</t>
  </si>
  <si>
    <t>Out-flow</t>
  </si>
  <si>
    <t>Purchases</t>
  </si>
  <si>
    <t xml:space="preserve"> - Suppliers</t>
  </si>
  <si>
    <t xml:space="preserve"> (Administrative expense)</t>
  </si>
  <si>
    <t xml:space="preserve"> (Selling expense)</t>
  </si>
  <si>
    <t>Result of the period  (November)</t>
  </si>
  <si>
    <t>Consumptions</t>
  </si>
  <si>
    <t>Inventories  (units)</t>
  </si>
  <si>
    <t>Inventories  (value)</t>
  </si>
  <si>
    <t>In</t>
  </si>
  <si>
    <t>Out</t>
  </si>
  <si>
    <t>Monthly P&amp;L</t>
  </si>
  <si>
    <t>Gross Margin</t>
  </si>
  <si>
    <t>Operating income of the period  (December)</t>
  </si>
  <si>
    <t>Inventories  (units)  -  former supplier</t>
  </si>
  <si>
    <t>Inventories  (units)  -  manufacturing</t>
  </si>
  <si>
    <t>Inventories  (value)  -  former supplier</t>
  </si>
  <si>
    <t>Inventories  (value)  -  manufacturing</t>
  </si>
  <si>
    <t>Unit cost of goods sold</t>
  </si>
  <si>
    <t>Organizational chart</t>
  </si>
  <si>
    <t>Staff</t>
  </si>
  <si>
    <t>Unit cost</t>
  </si>
  <si>
    <t>Engineer</t>
  </si>
  <si>
    <t>Production cost</t>
  </si>
  <si>
    <t>Cost of sales</t>
  </si>
  <si>
    <t>Begin inventory</t>
  </si>
  <si>
    <t>Goods produced</t>
  </si>
  <si>
    <t>and sold</t>
  </si>
  <si>
    <t>Total cost</t>
  </si>
  <si>
    <t xml:space="preserve"> - Sales</t>
  </si>
  <si>
    <t>Balance sheet  -  closing year 1</t>
  </si>
  <si>
    <t>Inventories</t>
  </si>
  <si>
    <t>Accounts receivable</t>
  </si>
  <si>
    <t>Income allocation</t>
  </si>
  <si>
    <t>Net income of the period</t>
  </si>
  <si>
    <t>Dividend declared</t>
  </si>
  <si>
    <t>i.e., per share</t>
  </si>
  <si>
    <t>Dividend pay-out ratio</t>
  </si>
  <si>
    <t>Retained earnings of the year</t>
  </si>
  <si>
    <t>Dividends payable</t>
  </si>
  <si>
    <t>paid in January</t>
  </si>
  <si>
    <t>$ / share</t>
  </si>
  <si>
    <t>December P&amp;L</t>
  </si>
  <si>
    <t>Income tax calculation</t>
  </si>
  <si>
    <t>Accumulated profit 4 months</t>
  </si>
  <si>
    <t xml:space="preserve"> (Income tax)</t>
  </si>
  <si>
    <t>Net earnings</t>
  </si>
  <si>
    <t>Rate =</t>
  </si>
  <si>
    <t>Operating profit</t>
  </si>
  <si>
    <t>Income tax payable</t>
  </si>
  <si>
    <t>P&amp;L  -  year 1</t>
  </si>
  <si>
    <t>September</t>
  </si>
  <si>
    <t>October</t>
  </si>
  <si>
    <t>November</t>
  </si>
  <si>
    <t>December</t>
  </si>
  <si>
    <t>Period</t>
  </si>
  <si>
    <t>Working Capital Requirement</t>
  </si>
  <si>
    <t xml:space="preserve"> + Accounts receivable</t>
  </si>
  <si>
    <t xml:space="preserve"> - Accounts payable</t>
  </si>
  <si>
    <t xml:space="preserve"> = Operating WCR   (OWCR)</t>
  </si>
  <si>
    <t xml:space="preserve">   Loss on inventories</t>
  </si>
  <si>
    <t>units, i.e. a loss of</t>
  </si>
  <si>
    <t xml:space="preserve"> - Taxes</t>
  </si>
  <si>
    <t xml:space="preserve"> - Dividends</t>
  </si>
  <si>
    <t>Current operating profit of the period</t>
  </si>
  <si>
    <t>Exceptional loss</t>
  </si>
  <si>
    <t>Earnings Before Tax  (taxable income)</t>
  </si>
  <si>
    <t>Income tax</t>
  </si>
  <si>
    <t>Net Earnings  (Earnings After Tax)</t>
  </si>
  <si>
    <t>Income tax rate</t>
  </si>
  <si>
    <t>Earnings Before Tax  (period)</t>
  </si>
  <si>
    <t>Net Earnings</t>
  </si>
  <si>
    <t>paid in January next year</t>
  </si>
  <si>
    <t>decision end of the year</t>
  </si>
  <si>
    <t>December  +</t>
  </si>
  <si>
    <t>January</t>
  </si>
  <si>
    <t>Funds from operations  -  first try</t>
  </si>
  <si>
    <t>Operating Working Capital Requirement</t>
  </si>
  <si>
    <t>Taxable income</t>
  </si>
  <si>
    <t>Funds from operations  (FFO)</t>
  </si>
  <si>
    <t>Tax payment</t>
  </si>
  <si>
    <t>Dividend payment</t>
  </si>
  <si>
    <t>Change in cash</t>
  </si>
  <si>
    <t>Funds from operations  -  second try</t>
  </si>
  <si>
    <t>Change in OWCR</t>
  </si>
  <si>
    <t>Current operating profit</t>
  </si>
  <si>
    <t xml:space="preserve">Funds from operations </t>
  </si>
  <si>
    <t>Current change in OWCR</t>
  </si>
  <si>
    <t>Current funds from operations</t>
  </si>
  <si>
    <t>Retained earnings</t>
  </si>
  <si>
    <t>Earnings before tax</t>
  </si>
  <si>
    <t xml:space="preserve"> (Cost of goods sold)</t>
  </si>
  <si>
    <t xml:space="preserve"> (R&amp;D expense)</t>
  </si>
  <si>
    <t>January    +</t>
  </si>
  <si>
    <t>February</t>
  </si>
  <si>
    <t>February   +</t>
  </si>
  <si>
    <t>March</t>
  </si>
  <si>
    <t>Assumptions</t>
  </si>
  <si>
    <t>Market</t>
  </si>
  <si>
    <t>April</t>
  </si>
  <si>
    <t>May</t>
  </si>
  <si>
    <t>June</t>
  </si>
  <si>
    <t>Project</t>
  </si>
  <si>
    <t>Machine purchase price</t>
  </si>
  <si>
    <t>Capacity</t>
  </si>
  <si>
    <t>Labour headcount</t>
  </si>
  <si>
    <t>Labour cost per person</t>
  </si>
  <si>
    <t>Raw materials cost</t>
  </si>
  <si>
    <t>Expected life</t>
  </si>
  <si>
    <t>years, i.e.</t>
  </si>
  <si>
    <t>units / month</t>
  </si>
  <si>
    <t xml:space="preserve"> ==&gt; 2,500 units</t>
  </si>
  <si>
    <t>from 2,500 to 5,000 units</t>
  </si>
  <si>
    <t>* per unit produced</t>
  </si>
  <si>
    <t>Costs calculation</t>
  </si>
  <si>
    <t>Number of units produced</t>
  </si>
  <si>
    <t>Depreciation</t>
  </si>
  <si>
    <t>Labour costs</t>
  </si>
  <si>
    <t>Fixed costs</t>
  </si>
  <si>
    <t>Variable costs</t>
  </si>
  <si>
    <t>Total costs</t>
  </si>
  <si>
    <t>Unit costs</t>
  </si>
  <si>
    <t>Profitability calculation</t>
  </si>
  <si>
    <t>Unit costs       ($)</t>
  </si>
  <si>
    <t>Unit purchase price  ($)</t>
  </si>
  <si>
    <t>Margin ($)</t>
  </si>
  <si>
    <t>Total cash costs ($)</t>
  </si>
  <si>
    <t>Cash margin per unit ($)</t>
  </si>
  <si>
    <t>Total cash margin ($)</t>
  </si>
  <si>
    <t>Payback (months)</t>
  </si>
  <si>
    <t>$ / month  (salary + taxes)</t>
  </si>
  <si>
    <t>months</t>
  </si>
  <si>
    <t>Financing</t>
  </si>
  <si>
    <t>Financial debt</t>
  </si>
  <si>
    <t>Interest rate</t>
  </si>
  <si>
    <t>Redemption</t>
  </si>
  <si>
    <t>Monthly interest</t>
  </si>
  <si>
    <t>Calculation of production cost</t>
  </si>
  <si>
    <t>Sales forecasts May</t>
  </si>
  <si>
    <t>Supervision expense</t>
  </si>
  <si>
    <t>Workers expense</t>
  </si>
  <si>
    <t>Production cost per unit</t>
  </si>
  <si>
    <t>Interest expense  (I)</t>
  </si>
  <si>
    <t>Earnings Before Tax  (EBT)</t>
  </si>
  <si>
    <t>Income tax  (T)</t>
  </si>
  <si>
    <t>Net Earnings  (Earnings After Tax - EAT)</t>
  </si>
  <si>
    <t>Increase in financial debt</t>
  </si>
  <si>
    <t xml:space="preserve"> - Production supervision</t>
  </si>
  <si>
    <t xml:space="preserve"> - Machine purchase price</t>
  </si>
  <si>
    <t xml:space="preserve"> - Interest expense</t>
  </si>
  <si>
    <t xml:space="preserve"> (Depreciation)</t>
  </si>
  <si>
    <t>Property, Plant &amp; Equipment, net</t>
  </si>
  <si>
    <t>Property, Plant &amp; Equipment, gross</t>
  </si>
  <si>
    <t>Operating income  (EBIT)</t>
  </si>
  <si>
    <t>Operating profit (or income) of the period  (EBIT)</t>
  </si>
  <si>
    <t xml:space="preserve"> + Depreciation   (DA)</t>
  </si>
  <si>
    <t xml:space="preserve"> - Production workers</t>
  </si>
  <si>
    <t>Interest expense paid</t>
  </si>
  <si>
    <t>Operating cash flow</t>
  </si>
  <si>
    <t>Machine purchase</t>
  </si>
  <si>
    <t>Free Cash Flow</t>
  </si>
  <si>
    <t>Change in financial debt</t>
  </si>
  <si>
    <t>March   +</t>
  </si>
  <si>
    <t>Management</t>
  </si>
  <si>
    <t>Engineering</t>
  </si>
  <si>
    <t xml:space="preserve">   -  Supervision</t>
  </si>
  <si>
    <t xml:space="preserve">   -  Workers</t>
  </si>
  <si>
    <t xml:space="preserve"> (Interest expense)</t>
  </si>
  <si>
    <t>Earnings Before Tax</t>
  </si>
  <si>
    <t xml:space="preserve"> (Income Tax)</t>
  </si>
  <si>
    <t>Purchase of consumed raw materials</t>
  </si>
  <si>
    <t>Sales forecasts July</t>
  </si>
  <si>
    <t>Sales forecasts June</t>
  </si>
  <si>
    <t>Inventories objective end of month</t>
  </si>
  <si>
    <t>Production planned</t>
  </si>
  <si>
    <t xml:space="preserve"> (Accumulated depreciation)</t>
  </si>
  <si>
    <t>Opearting profit</t>
  </si>
  <si>
    <t xml:space="preserve"> + depreciation (&amp; Amortization)</t>
  </si>
  <si>
    <t xml:space="preserve"> - Change in OWCR</t>
  </si>
  <si>
    <t>Current Funds From Operations</t>
  </si>
  <si>
    <t>Technological expenses</t>
  </si>
  <si>
    <t>Development</t>
  </si>
  <si>
    <t>Amortization of development expenses in</t>
  </si>
  <si>
    <t>July</t>
  </si>
  <si>
    <t>August</t>
  </si>
  <si>
    <t>Total in-flows</t>
  </si>
  <si>
    <t xml:space="preserve"> - Development</t>
  </si>
  <si>
    <t>May  +</t>
  </si>
  <si>
    <t>June  +</t>
  </si>
  <si>
    <t>Intangible assets</t>
  </si>
  <si>
    <t>Investment in R&amp;D</t>
  </si>
  <si>
    <t>P&amp;L   base 100</t>
  </si>
  <si>
    <t>Net fixed assets</t>
  </si>
  <si>
    <r>
      <t xml:space="preserve">Prepaid expense  </t>
    </r>
    <r>
      <rPr>
        <i/>
        <sz val="12"/>
        <color theme="1"/>
        <rFont val="Calibri"/>
        <family val="2"/>
        <scheme val="minor"/>
      </rPr>
      <t>(*)</t>
    </r>
  </si>
  <si>
    <t>Current operating assets</t>
  </si>
  <si>
    <t xml:space="preserve"> (*) for the use of the software during</t>
  </si>
  <si>
    <t>July  +</t>
  </si>
  <si>
    <t>Current operating liabilities</t>
  </si>
  <si>
    <t>Interest expense</t>
  </si>
  <si>
    <t>Accrued taxes  (T)</t>
  </si>
  <si>
    <t>Gross Cash Flow</t>
  </si>
  <si>
    <t>Impact of change in Working Capital Requirement</t>
  </si>
  <si>
    <t>Operating Cash Flow</t>
  </si>
  <si>
    <t>Tangible Capital Expenditures</t>
  </si>
  <si>
    <t>Intangible Capital Expenditures</t>
  </si>
  <si>
    <t xml:space="preserve"> + Depreciation &amp; Amortization   (DA)</t>
  </si>
  <si>
    <t>P&amp;L  base 100</t>
  </si>
  <si>
    <t xml:space="preserve"> + Depreciation &amp; Amortization  (DA)</t>
  </si>
  <si>
    <t>Funds From Operations</t>
  </si>
  <si>
    <t>Other current operating assets</t>
  </si>
  <si>
    <t>Prepaid expenses</t>
  </si>
  <si>
    <t xml:space="preserve"> = Non-operating WCR  (NO-WCR)</t>
  </si>
  <si>
    <t>Change in total WCR</t>
  </si>
  <si>
    <t xml:space="preserve"> - Other current operating liabilities</t>
  </si>
  <si>
    <t xml:space="preserve"> (Engineering expense)</t>
  </si>
  <si>
    <t xml:space="preserve"> - Engineering</t>
  </si>
  <si>
    <t xml:space="preserve"> - Software license</t>
  </si>
  <si>
    <t>August  +</t>
  </si>
  <si>
    <t>Software license use</t>
  </si>
  <si>
    <t xml:space="preserve">Software license </t>
  </si>
  <si>
    <t xml:space="preserve">Cash from operations </t>
  </si>
  <si>
    <t>WCR calculation</t>
  </si>
  <si>
    <t>Sales forecasts August</t>
  </si>
  <si>
    <t>Sales forecasts September</t>
  </si>
  <si>
    <t>Sales forecasts October</t>
  </si>
  <si>
    <t>Tangible     Capital Expenditures</t>
  </si>
  <si>
    <t>Intangible  Capital Expenditures</t>
  </si>
  <si>
    <t>Calculation of WCR</t>
  </si>
  <si>
    <t>Cost of the factory</t>
  </si>
  <si>
    <t>Number of workers</t>
  </si>
  <si>
    <t>Cost of a worker</t>
  </si>
  <si>
    <t>Raw materials costs</t>
  </si>
  <si>
    <t>Hiring</t>
  </si>
  <si>
    <t>Units / month</t>
  </si>
  <si>
    <t>From 5,000 to 12,000</t>
  </si>
  <si>
    <t>$ / month  (wages + social security expenses)</t>
  </si>
  <si>
    <t>$ per unit produced</t>
  </si>
  <si>
    <t>administrative</t>
  </si>
  <si>
    <t xml:space="preserve">sales </t>
  </si>
  <si>
    <t>production engineer</t>
  </si>
  <si>
    <t>R&amp;D engineers in December</t>
  </si>
  <si>
    <t>$ / month</t>
  </si>
  <si>
    <t>from 12,000 to 20,000 units</t>
  </si>
  <si>
    <r>
      <t xml:space="preserve">Repaid </t>
    </r>
    <r>
      <rPr>
        <i/>
        <sz val="14"/>
        <color theme="1"/>
        <rFont val="Calibri"/>
        <family val="2"/>
        <scheme val="minor"/>
      </rPr>
      <t>in fine</t>
    </r>
  </si>
  <si>
    <t>Equity issue</t>
  </si>
  <si>
    <t>Wrap-up</t>
  </si>
  <si>
    <t>Pre-money value of the firm</t>
  </si>
  <si>
    <t>Value of one share</t>
  </si>
  <si>
    <t>Issue price of the shares</t>
  </si>
  <si>
    <t>Premium per share</t>
  </si>
  <si>
    <t>Number of shares issued</t>
  </si>
  <si>
    <t>Additional paid-in capital</t>
  </si>
  <si>
    <t>Amortization  (intangibles)</t>
  </si>
  <si>
    <t>Depreciation  (tangibles)</t>
  </si>
  <si>
    <t>Sales forecasts November</t>
  </si>
  <si>
    <t xml:space="preserve"> - External expenses</t>
  </si>
  <si>
    <t xml:space="preserve"> - Cost of the factory</t>
  </si>
  <si>
    <t xml:space="preserve"> + Depreciation &amp; Amortization </t>
  </si>
  <si>
    <t>Declared dividends</t>
  </si>
  <si>
    <t xml:space="preserve"> (External costs)</t>
  </si>
  <si>
    <t>External costs</t>
  </si>
  <si>
    <t>Prepaid expense</t>
  </si>
  <si>
    <t>October +</t>
  </si>
  <si>
    <t>Cash Flow Statement</t>
  </si>
  <si>
    <t>Sales forecasts January</t>
  </si>
  <si>
    <t>of cumulated profit end December</t>
  </si>
  <si>
    <t>of cumulated profit end October</t>
  </si>
  <si>
    <t>Financial debt  (medium-term)</t>
  </si>
  <si>
    <t>Long-term resources</t>
  </si>
  <si>
    <t>Financial debt  (short-term)</t>
  </si>
  <si>
    <t>Cash Flow Statement  (December)</t>
  </si>
  <si>
    <t>Cash Flow Statement  (year)</t>
  </si>
  <si>
    <t xml:space="preserve"> = Cash end December - 2</t>
  </si>
  <si>
    <t xml:space="preserve"> -  Cash end December - 1</t>
  </si>
  <si>
    <t>Current assets</t>
  </si>
  <si>
    <t>WC - WCR = Net cash position</t>
  </si>
  <si>
    <t xml:space="preserve"> = Long-term resources</t>
  </si>
  <si>
    <t xml:space="preserve"> - Non-current assets</t>
  </si>
  <si>
    <t xml:space="preserve"> = Working Capital</t>
  </si>
  <si>
    <t xml:space="preserve"> - Working Capital Requirement</t>
  </si>
  <si>
    <t xml:space="preserve"> = Net cash position</t>
  </si>
  <si>
    <t>Check with cash</t>
  </si>
  <si>
    <t>$</t>
  </si>
  <si>
    <t>November +</t>
  </si>
  <si>
    <t xml:space="preserve"> + Medium and long-term debt</t>
  </si>
  <si>
    <t>Current change in O-WCR</t>
  </si>
  <si>
    <t xml:space="preserve"> = Operating WCR   (O-WCR)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</si>
</sst>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)\ _$_ ;_ * \(#,##0.00\)\ _$_ ;_ * &quot;-&quot;??_)\ _$_ ;_ @_ "/>
    <numFmt numFmtId="165" formatCode="#,##0;\(#,##0\)"/>
    <numFmt numFmtId="166" formatCode="0%;\(0%\)"/>
    <numFmt numFmtId="167" formatCode="#,##0.0;\(#,##0.0\)"/>
    <numFmt numFmtId="168" formatCode="#,##0.00;\(#,##0.00\)"/>
    <numFmt numFmtId="169" formatCode="0.0%"/>
    <numFmt numFmtId="170" formatCode="#,##0.00\ [$€-47E];\-#,##0.00\ [$€-47E]"/>
    <numFmt numFmtId="171" formatCode="[$$-1009]#,##0.00"/>
    <numFmt numFmtId="172" formatCode="[$$-409]#,##0.00"/>
    <numFmt numFmtId="173" formatCode="[$$-409]#,##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 (Corps)_x0000_"/>
    </font>
    <font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C00000"/>
      <name val="Calibri (Corps)_x0000_"/>
    </font>
    <font>
      <i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 (Corps)_x0000_"/>
    </font>
    <font>
      <b/>
      <sz val="14"/>
      <color theme="1"/>
      <name val="Calibri"/>
      <family val="2"/>
      <scheme val="minor"/>
    </font>
    <font>
      <sz val="14"/>
      <color theme="1"/>
      <name val="Calibri (Corps)_x0000_"/>
    </font>
    <font>
      <b/>
      <sz val="18"/>
      <color rgb="FFC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theme="1"/>
      <name val="Calibri (Corps)_x0000_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C00000"/>
      <name val="Calibri (Corps)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6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7" xfId="0" applyNumberFormat="1" applyBorder="1"/>
    <xf numFmtId="165" fontId="3" fillId="0" borderId="0" xfId="0" applyNumberFormat="1" applyFont="1"/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0" fillId="2" borderId="0" xfId="0" applyNumberFormat="1" applyFill="1"/>
    <xf numFmtId="165" fontId="0" fillId="2" borderId="4" xfId="0" applyNumberFormat="1" applyFill="1" applyBorder="1"/>
    <xf numFmtId="165" fontId="0" fillId="3" borderId="0" xfId="0" applyNumberFormat="1" applyFill="1"/>
    <xf numFmtId="165" fontId="0" fillId="3" borderId="4" xfId="0" applyNumberFormat="1" applyFill="1" applyBorder="1"/>
    <xf numFmtId="165" fontId="2" fillId="0" borderId="9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2" fillId="0" borderId="0" xfId="0" applyNumberFormat="1" applyFont="1"/>
    <xf numFmtId="165" fontId="0" fillId="4" borderId="0" xfId="0" applyNumberFormat="1" applyFill="1"/>
    <xf numFmtId="165" fontId="0" fillId="4" borderId="4" xfId="0" applyNumberFormat="1" applyFill="1" applyBorder="1"/>
    <xf numFmtId="165" fontId="0" fillId="0" borderId="8" xfId="0" applyNumberFormat="1" applyBorder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5" fontId="0" fillId="5" borderId="4" xfId="0" applyNumberFormat="1" applyFill="1" applyBorder="1"/>
    <xf numFmtId="165" fontId="0" fillId="5" borderId="7" xfId="0" applyNumberFormat="1" applyFill="1" applyBorder="1"/>
    <xf numFmtId="165" fontId="0" fillId="6" borderId="7" xfId="0" applyNumberFormat="1" applyFill="1" applyBorder="1"/>
    <xf numFmtId="9" fontId="0" fillId="0" borderId="0" xfId="1" applyFont="1" applyAlignment="1">
      <alignment horizontal="lef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center"/>
    </xf>
    <xf numFmtId="165" fontId="0" fillId="7" borderId="0" xfId="0" applyNumberFormat="1" applyFill="1"/>
    <xf numFmtId="165" fontId="6" fillId="0" borderId="0" xfId="0" applyNumberFormat="1" applyFont="1"/>
    <xf numFmtId="9" fontId="0" fillId="0" borderId="9" xfId="1" applyFont="1" applyBorder="1" applyAlignment="1">
      <alignment horizontal="center"/>
    </xf>
    <xf numFmtId="165" fontId="0" fillId="7" borderId="4" xfId="0" applyNumberFormat="1" applyFill="1" applyBorder="1"/>
    <xf numFmtId="165" fontId="0" fillId="8" borderId="0" xfId="0" applyNumberFormat="1" applyFill="1"/>
    <xf numFmtId="165" fontId="0" fillId="8" borderId="6" xfId="0" applyNumberFormat="1" applyFill="1" applyBorder="1"/>
    <xf numFmtId="165" fontId="0" fillId="0" borderId="8" xfId="0" applyNumberFormat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5" fontId="0" fillId="0" borderId="11" xfId="0" applyNumberFormat="1" applyBorder="1"/>
    <xf numFmtId="165" fontId="3" fillId="0" borderId="3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3" xfId="0" applyFont="1" applyBorder="1"/>
    <xf numFmtId="0" fontId="8" fillId="0" borderId="4" xfId="0" applyFont="1" applyBorder="1"/>
    <xf numFmtId="9" fontId="8" fillId="0" borderId="3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7" fillId="0" borderId="3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5" fontId="0" fillId="0" borderId="13" xfId="0" applyNumberFormat="1" applyBorder="1"/>
    <xf numFmtId="165" fontId="0" fillId="0" borderId="14" xfId="0" applyNumberFormat="1" applyBorder="1"/>
    <xf numFmtId="0" fontId="2" fillId="0" borderId="13" xfId="0" applyFont="1" applyBorder="1" applyAlignment="1">
      <alignment horizontal="center"/>
    </xf>
    <xf numFmtId="165" fontId="2" fillId="0" borderId="13" xfId="0" applyNumberFormat="1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6" fontId="0" fillId="0" borderId="13" xfId="1" applyNumberFormat="1" applyFont="1" applyBorder="1"/>
    <xf numFmtId="166" fontId="0" fillId="0" borderId="14" xfId="1" applyNumberFormat="1" applyFont="1" applyBorder="1"/>
    <xf numFmtId="165" fontId="0" fillId="0" borderId="13" xfId="0" applyNumberForma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5" fontId="0" fillId="0" borderId="12" xfId="0" applyNumberFormat="1" applyBorder="1"/>
    <xf numFmtId="165" fontId="10" fillId="0" borderId="0" xfId="0" applyNumberFormat="1" applyFont="1"/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6" fontId="1" fillId="0" borderId="13" xfId="1" applyNumberFormat="1" applyFont="1" applyBorder="1" applyAlignment="1">
      <alignment horizontal="right"/>
    </xf>
    <xf numFmtId="166" fontId="1" fillId="0" borderId="14" xfId="1" applyNumberFormat="1" applyFont="1" applyBorder="1" applyAlignment="1">
      <alignment horizontal="right"/>
    </xf>
    <xf numFmtId="165" fontId="0" fillId="7" borderId="12" xfId="0" applyNumberFormat="1" applyFill="1" applyBorder="1"/>
    <xf numFmtId="165" fontId="0" fillId="7" borderId="13" xfId="0" applyNumberFormat="1" applyFill="1" applyBorder="1" applyAlignment="1">
      <alignment horizontal="center"/>
    </xf>
    <xf numFmtId="165" fontId="0" fillId="7" borderId="14" xfId="0" applyNumberFormat="1" applyFill="1" applyBorder="1"/>
    <xf numFmtId="165" fontId="0" fillId="7" borderId="13" xfId="0" applyNumberFormat="1" applyFill="1" applyBorder="1"/>
    <xf numFmtId="165" fontId="2" fillId="7" borderId="13" xfId="0" applyNumberFormat="1" applyFont="1" applyFill="1" applyBorder="1"/>
    <xf numFmtId="0" fontId="0" fillId="7" borderId="12" xfId="0" applyFill="1" applyBorder="1"/>
    <xf numFmtId="0" fontId="0" fillId="7" borderId="13" xfId="0" applyFill="1" applyBorder="1" applyAlignment="1">
      <alignment horizontal="center"/>
    </xf>
    <xf numFmtId="0" fontId="0" fillId="7" borderId="14" xfId="0" applyFill="1" applyBorder="1"/>
    <xf numFmtId="166" fontId="0" fillId="7" borderId="13" xfId="1" applyNumberFormat="1" applyFont="1" applyFill="1" applyBorder="1"/>
    <xf numFmtId="166" fontId="0" fillId="7" borderId="14" xfId="1" applyNumberFormat="1" applyFont="1" applyFill="1" applyBorder="1"/>
    <xf numFmtId="166" fontId="0" fillId="0" borderId="13" xfId="1" applyNumberFormat="1" applyFont="1" applyFill="1" applyBorder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0" fillId="5" borderId="7" xfId="0" applyNumberFormat="1" applyFill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8" borderId="6" xfId="0" applyNumberForma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0" fillId="0" borderId="4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9" fontId="0" fillId="0" borderId="0" xfId="0" applyNumberFormat="1" applyAlignment="1">
      <alignment horizontal="center"/>
    </xf>
    <xf numFmtId="9" fontId="0" fillId="0" borderId="0" xfId="0" applyNumberFormat="1"/>
    <xf numFmtId="165" fontId="1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5" fontId="0" fillId="0" borderId="5" xfId="0" applyNumberFormat="1" applyBorder="1" applyAlignment="1">
      <alignment horizontal="left"/>
    </xf>
    <xf numFmtId="0" fontId="0" fillId="0" borderId="13" xfId="0" applyBorder="1"/>
    <xf numFmtId="165" fontId="13" fillId="0" borderId="13" xfId="0" applyNumberFormat="1" applyFont="1" applyBorder="1" applyAlignment="1">
      <alignment horizontal="center"/>
    </xf>
    <xf numFmtId="0" fontId="0" fillId="7" borderId="13" xfId="0" applyFill="1" applyBorder="1"/>
    <xf numFmtId="0" fontId="0" fillId="9" borderId="12" xfId="0" applyFill="1" applyBorder="1" applyAlignment="1">
      <alignment horizontal="right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right"/>
    </xf>
    <xf numFmtId="165" fontId="0" fillId="9" borderId="13" xfId="0" applyNumberFormat="1" applyFill="1" applyBorder="1" applyAlignment="1">
      <alignment horizontal="right"/>
    </xf>
    <xf numFmtId="0" fontId="0" fillId="9" borderId="13" xfId="0" applyFill="1" applyBorder="1" applyAlignment="1">
      <alignment horizontal="right"/>
    </xf>
    <xf numFmtId="165" fontId="0" fillId="9" borderId="14" xfId="0" applyNumberFormat="1" applyFill="1" applyBorder="1" applyAlignment="1">
      <alignment horizontal="right"/>
    </xf>
    <xf numFmtId="165" fontId="0" fillId="9" borderId="13" xfId="0" applyNumberFormat="1" applyFill="1" applyBorder="1"/>
    <xf numFmtId="165" fontId="0" fillId="9" borderId="14" xfId="0" applyNumberFormat="1" applyFill="1" applyBorder="1"/>
    <xf numFmtId="166" fontId="1" fillId="9" borderId="13" xfId="1" applyNumberFormat="1" applyFont="1" applyFill="1" applyBorder="1" applyAlignment="1">
      <alignment horizontal="right"/>
    </xf>
    <xf numFmtId="166" fontId="1" fillId="9" borderId="14" xfId="1" applyNumberFormat="1" applyFont="1" applyFill="1" applyBorder="1" applyAlignment="1">
      <alignment horizontal="right"/>
    </xf>
    <xf numFmtId="166" fontId="0" fillId="9" borderId="13" xfId="1" applyNumberFormat="1" applyFont="1" applyFill="1" applyBorder="1"/>
    <xf numFmtId="166" fontId="0" fillId="9" borderId="14" xfId="1" applyNumberFormat="1" applyFont="1" applyFill="1" applyBorder="1"/>
    <xf numFmtId="165" fontId="0" fillId="9" borderId="12" xfId="0" applyNumberFormat="1" applyFill="1" applyBorder="1"/>
    <xf numFmtId="165" fontId="0" fillId="9" borderId="13" xfId="0" applyNumberFormat="1" applyFill="1" applyBorder="1" applyAlignment="1">
      <alignment horizontal="center"/>
    </xf>
    <xf numFmtId="165" fontId="2" fillId="9" borderId="13" xfId="0" applyNumberFormat="1" applyFont="1" applyFill="1" applyBorder="1"/>
    <xf numFmtId="165" fontId="7" fillId="0" borderId="0" xfId="0" applyNumberFormat="1" applyFont="1" applyAlignment="1">
      <alignment horizontal="center"/>
    </xf>
    <xf numFmtId="0" fontId="8" fillId="0" borderId="12" xfId="0" applyFont="1" applyBorder="1"/>
    <xf numFmtId="0" fontId="14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0" fontId="8" fillId="8" borderId="12" xfId="0" applyFont="1" applyFill="1" applyBorder="1"/>
    <xf numFmtId="0" fontId="8" fillId="8" borderId="12" xfId="0" applyFont="1" applyFill="1" applyBorder="1" applyAlignment="1">
      <alignment horizontal="right"/>
    </xf>
    <xf numFmtId="0" fontId="15" fillId="8" borderId="13" xfId="0" applyFont="1" applyFill="1" applyBorder="1" applyAlignment="1">
      <alignment horizontal="center"/>
    </xf>
    <xf numFmtId="0" fontId="8" fillId="8" borderId="13" xfId="0" applyFont="1" applyFill="1" applyBorder="1"/>
    <xf numFmtId="0" fontId="8" fillId="8" borderId="13" xfId="0" applyFont="1" applyFill="1" applyBorder="1" applyAlignment="1">
      <alignment horizontal="right"/>
    </xf>
    <xf numFmtId="3" fontId="8" fillId="8" borderId="13" xfId="0" applyNumberFormat="1" applyFont="1" applyFill="1" applyBorder="1" applyAlignment="1">
      <alignment horizontal="center"/>
    </xf>
    <xf numFmtId="3" fontId="8" fillId="8" borderId="14" xfId="0" applyNumberFormat="1" applyFont="1" applyFill="1" applyBorder="1" applyAlignment="1">
      <alignment horizontal="center"/>
    </xf>
    <xf numFmtId="0" fontId="8" fillId="8" borderId="14" xfId="0" applyFont="1" applyFill="1" applyBorder="1"/>
    <xf numFmtId="0" fontId="8" fillId="8" borderId="14" xfId="0" applyFont="1" applyFill="1" applyBorder="1" applyAlignment="1">
      <alignment horizontal="right"/>
    </xf>
    <xf numFmtId="0" fontId="8" fillId="9" borderId="12" xfId="0" applyFont="1" applyFill="1" applyBorder="1"/>
    <xf numFmtId="0" fontId="15" fillId="9" borderId="13" xfId="0" applyFont="1" applyFill="1" applyBorder="1" applyAlignment="1">
      <alignment horizontal="center"/>
    </xf>
    <xf numFmtId="0" fontId="8" fillId="9" borderId="13" xfId="0" applyFont="1" applyFill="1" applyBorder="1"/>
    <xf numFmtId="3" fontId="8" fillId="9" borderId="13" xfId="0" applyNumberFormat="1" applyFont="1" applyFill="1" applyBorder="1" applyAlignment="1">
      <alignment horizontal="center"/>
    </xf>
    <xf numFmtId="3" fontId="8" fillId="9" borderId="14" xfId="0" applyNumberFormat="1" applyFont="1" applyFill="1" applyBorder="1" applyAlignment="1">
      <alignment horizontal="center"/>
    </xf>
    <xf numFmtId="0" fontId="8" fillId="9" borderId="14" xfId="0" applyFont="1" applyFill="1" applyBorder="1"/>
    <xf numFmtId="0" fontId="0" fillId="9" borderId="12" xfId="0" applyFill="1" applyBorder="1"/>
    <xf numFmtId="3" fontId="8" fillId="9" borderId="13" xfId="2" applyNumberFormat="1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8" borderId="12" xfId="0" applyFill="1" applyBorder="1"/>
    <xf numFmtId="3" fontId="8" fillId="8" borderId="13" xfId="2" applyNumberFormat="1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0" fillId="8" borderId="12" xfId="0" applyFill="1" applyBorder="1" applyAlignment="1">
      <alignment horizontal="right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right"/>
    </xf>
    <xf numFmtId="165" fontId="0" fillId="8" borderId="13" xfId="0" applyNumberFormat="1" applyFill="1" applyBorder="1" applyAlignment="1">
      <alignment horizontal="right"/>
    </xf>
    <xf numFmtId="0" fontId="0" fillId="8" borderId="13" xfId="0" applyFill="1" applyBorder="1" applyAlignment="1">
      <alignment horizontal="right"/>
    </xf>
    <xf numFmtId="165" fontId="0" fillId="8" borderId="14" xfId="0" applyNumberFormat="1" applyFill="1" applyBorder="1" applyAlignment="1">
      <alignment horizontal="right"/>
    </xf>
    <xf numFmtId="165" fontId="0" fillId="8" borderId="13" xfId="0" applyNumberFormat="1" applyFill="1" applyBorder="1"/>
    <xf numFmtId="165" fontId="0" fillId="8" borderId="14" xfId="0" applyNumberFormat="1" applyFill="1" applyBorder="1"/>
    <xf numFmtId="166" fontId="1" fillId="8" borderId="13" xfId="1" applyNumberFormat="1" applyFont="1" applyFill="1" applyBorder="1" applyAlignment="1">
      <alignment horizontal="right"/>
    </xf>
    <xf numFmtId="166" fontId="1" fillId="8" borderId="14" xfId="1" applyNumberFormat="1" applyFont="1" applyFill="1" applyBorder="1" applyAlignment="1">
      <alignment horizontal="right"/>
    </xf>
    <xf numFmtId="166" fontId="0" fillId="8" borderId="13" xfId="1" applyNumberFormat="1" applyFont="1" applyFill="1" applyBorder="1"/>
    <xf numFmtId="165" fontId="0" fillId="8" borderId="12" xfId="0" applyNumberFormat="1" applyFill="1" applyBorder="1"/>
    <xf numFmtId="165" fontId="0" fillId="8" borderId="13" xfId="0" applyNumberFormat="1" applyFill="1" applyBorder="1" applyAlignment="1">
      <alignment horizontal="center"/>
    </xf>
    <xf numFmtId="165" fontId="2" fillId="8" borderId="13" xfId="0" applyNumberFormat="1" applyFont="1" applyFill="1" applyBorder="1"/>
    <xf numFmtId="165" fontId="2" fillId="0" borderId="3" xfId="0" applyNumberFormat="1" applyFont="1" applyBorder="1" applyAlignment="1">
      <alignment horizontal="left"/>
    </xf>
    <xf numFmtId="0" fontId="8" fillId="7" borderId="12" xfId="0" applyFont="1" applyFill="1" applyBorder="1"/>
    <xf numFmtId="0" fontId="8" fillId="0" borderId="12" xfId="0" applyFont="1" applyBorder="1" applyAlignment="1">
      <alignment horizontal="right"/>
    </xf>
    <xf numFmtId="0" fontId="15" fillId="7" borderId="13" xfId="0" applyFont="1" applyFill="1" applyBorder="1" applyAlignment="1">
      <alignment horizontal="center"/>
    </xf>
    <xf numFmtId="0" fontId="8" fillId="7" borderId="13" xfId="0" applyFont="1" applyFill="1" applyBorder="1"/>
    <xf numFmtId="0" fontId="8" fillId="0" borderId="13" xfId="0" applyFont="1" applyBorder="1" applyAlignment="1">
      <alignment horizontal="right"/>
    </xf>
    <xf numFmtId="3" fontId="8" fillId="7" borderId="13" xfId="0" applyNumberFormat="1" applyFont="1" applyFill="1" applyBorder="1" applyAlignment="1">
      <alignment horizontal="center"/>
    </xf>
    <xf numFmtId="3" fontId="8" fillId="7" borderId="14" xfId="0" applyNumberFormat="1" applyFont="1" applyFill="1" applyBorder="1" applyAlignment="1">
      <alignment horizontal="center"/>
    </xf>
    <xf numFmtId="0" fontId="8" fillId="7" borderId="14" xfId="0" applyFont="1" applyFill="1" applyBorder="1"/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3" fontId="15" fillId="0" borderId="0" xfId="2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/>
    </xf>
    <xf numFmtId="167" fontId="8" fillId="0" borderId="13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 vertical="center" wrapText="1"/>
    </xf>
    <xf numFmtId="9" fontId="8" fillId="0" borderId="13" xfId="0" applyNumberFormat="1" applyFont="1" applyBorder="1" applyAlignment="1">
      <alignment horizontal="center"/>
    </xf>
    <xf numFmtId="0" fontId="15" fillId="0" borderId="13" xfId="0" applyFont="1" applyBorder="1"/>
    <xf numFmtId="3" fontId="15" fillId="0" borderId="13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8" fillId="0" borderId="0" xfId="0" applyNumberFormat="1" applyFont="1"/>
    <xf numFmtId="165" fontId="8" fillId="0" borderId="0" xfId="0" applyNumberFormat="1" applyFont="1" applyAlignment="1">
      <alignment horizontal="center"/>
    </xf>
    <xf numFmtId="165" fontId="7" fillId="0" borderId="0" xfId="0" applyNumberFormat="1" applyFont="1"/>
    <xf numFmtId="165" fontId="2" fillId="4" borderId="0" xfId="0" applyNumberFormat="1" applyFont="1" applyFill="1"/>
    <xf numFmtId="165" fontId="2" fillId="0" borderId="4" xfId="0" applyNumberFormat="1" applyFont="1" applyBorder="1" applyAlignment="1">
      <alignment horizontal="right"/>
    </xf>
    <xf numFmtId="0" fontId="2" fillId="0" borderId="0" xfId="0" applyFont="1"/>
    <xf numFmtId="165" fontId="0" fillId="0" borderId="12" xfId="0" applyNumberForma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left"/>
    </xf>
    <xf numFmtId="165" fontId="0" fillId="7" borderId="13" xfId="0" applyNumberFormat="1" applyFill="1" applyBorder="1" applyAlignment="1">
      <alignment horizontal="right"/>
    </xf>
    <xf numFmtId="165" fontId="2" fillId="7" borderId="13" xfId="0" applyNumberFormat="1" applyFont="1" applyFill="1" applyBorder="1" applyAlignment="1">
      <alignment horizontal="right"/>
    </xf>
    <xf numFmtId="165" fontId="0" fillId="7" borderId="14" xfId="0" applyNumberFormat="1" applyFill="1" applyBorder="1" applyAlignment="1">
      <alignment horizontal="right"/>
    </xf>
    <xf numFmtId="165" fontId="0" fillId="9" borderId="12" xfId="0" applyNumberFormat="1" applyFill="1" applyBorder="1" applyAlignment="1">
      <alignment horizontal="right"/>
    </xf>
    <xf numFmtId="165" fontId="2" fillId="9" borderId="13" xfId="0" applyNumberFormat="1" applyFont="1" applyFill="1" applyBorder="1" applyAlignment="1">
      <alignment horizontal="right"/>
    </xf>
    <xf numFmtId="165" fontId="0" fillId="8" borderId="12" xfId="0" applyNumberFormat="1" applyFill="1" applyBorder="1" applyAlignment="1">
      <alignment horizontal="right"/>
    </xf>
    <xf numFmtId="165" fontId="2" fillId="8" borderId="13" xfId="0" applyNumberFormat="1" applyFont="1" applyFill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0" fontId="0" fillId="4" borderId="12" xfId="0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right"/>
    </xf>
    <xf numFmtId="165" fontId="0" fillId="4" borderId="13" xfId="0" applyNumberFormat="1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165" fontId="0" fillId="4" borderId="14" xfId="0" applyNumberFormat="1" applyFill="1" applyBorder="1" applyAlignment="1">
      <alignment horizontal="right"/>
    </xf>
    <xf numFmtId="165" fontId="0" fillId="4" borderId="13" xfId="0" applyNumberFormat="1" applyFill="1" applyBorder="1"/>
    <xf numFmtId="165" fontId="0" fillId="4" borderId="14" xfId="0" applyNumberFormat="1" applyFill="1" applyBorder="1"/>
    <xf numFmtId="166" fontId="1" fillId="4" borderId="13" xfId="1" applyNumberFormat="1" applyFont="1" applyFill="1" applyBorder="1" applyAlignment="1">
      <alignment horizontal="right"/>
    </xf>
    <xf numFmtId="166" fontId="1" fillId="4" borderId="14" xfId="1" applyNumberFormat="1" applyFont="1" applyFill="1" applyBorder="1" applyAlignment="1">
      <alignment horizontal="right"/>
    </xf>
    <xf numFmtId="166" fontId="0" fillId="4" borderId="13" xfId="1" applyNumberFormat="1" applyFont="1" applyFill="1" applyBorder="1"/>
    <xf numFmtId="165" fontId="0" fillId="4" borderId="12" xfId="0" applyNumberFormat="1" applyFill="1" applyBorder="1"/>
    <xf numFmtId="165" fontId="0" fillId="4" borderId="13" xfId="0" applyNumberFormat="1" applyFill="1" applyBorder="1" applyAlignment="1">
      <alignment horizontal="center"/>
    </xf>
    <xf numFmtId="165" fontId="2" fillId="4" borderId="13" xfId="0" applyNumberFormat="1" applyFont="1" applyFill="1" applyBorder="1"/>
    <xf numFmtId="165" fontId="0" fillId="4" borderId="12" xfId="0" applyNumberFormat="1" applyFill="1" applyBorder="1" applyAlignment="1">
      <alignment horizontal="right"/>
    </xf>
    <xf numFmtId="165" fontId="2" fillId="4" borderId="13" xfId="0" applyNumberFormat="1" applyFont="1" applyFill="1" applyBorder="1" applyAlignment="1">
      <alignment horizontal="right"/>
    </xf>
    <xf numFmtId="0" fontId="8" fillId="4" borderId="12" xfId="0" applyFont="1" applyFill="1" applyBorder="1"/>
    <xf numFmtId="0" fontId="15" fillId="4" borderId="13" xfId="0" applyFont="1" applyFill="1" applyBorder="1" applyAlignment="1">
      <alignment horizontal="center"/>
    </xf>
    <xf numFmtId="0" fontId="8" fillId="4" borderId="13" xfId="0" applyFont="1" applyFill="1" applyBorder="1"/>
    <xf numFmtId="3" fontId="8" fillId="4" borderId="13" xfId="0" applyNumberFormat="1" applyFont="1" applyFill="1" applyBorder="1" applyAlignment="1">
      <alignment horizontal="center"/>
    </xf>
    <xf numFmtId="3" fontId="8" fillId="4" borderId="14" xfId="0" applyNumberFormat="1" applyFont="1" applyFill="1" applyBorder="1" applyAlignment="1">
      <alignment horizontal="center"/>
    </xf>
    <xf numFmtId="0" fontId="8" fillId="4" borderId="14" xfId="0" applyFont="1" applyFill="1" applyBorder="1"/>
    <xf numFmtId="0" fontId="0" fillId="4" borderId="12" xfId="0" applyFill="1" applyBorder="1"/>
    <xf numFmtId="0" fontId="0" fillId="4" borderId="14" xfId="0" applyFill="1" applyBorder="1" applyAlignment="1">
      <alignment horizontal="center"/>
    </xf>
    <xf numFmtId="0" fontId="0" fillId="7" borderId="12" xfId="0" applyFill="1" applyBorder="1" applyAlignment="1">
      <alignment horizontal="right"/>
    </xf>
    <xf numFmtId="0" fontId="0" fillId="7" borderId="14" xfId="0" applyFill="1" applyBorder="1" applyAlignment="1">
      <alignment horizontal="center"/>
    </xf>
    <xf numFmtId="3" fontId="8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 applyAlignment="1">
      <alignment horizontal="center"/>
    </xf>
    <xf numFmtId="9" fontId="8" fillId="0" borderId="3" xfId="0" applyNumberFormat="1" applyFont="1" applyBorder="1" applyAlignment="1">
      <alignment horizontal="center"/>
    </xf>
    <xf numFmtId="0" fontId="8" fillId="0" borderId="2" xfId="0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0" fontId="15" fillId="0" borderId="3" xfId="0" applyFont="1" applyBorder="1"/>
    <xf numFmtId="0" fontId="15" fillId="0" borderId="4" xfId="0" applyFont="1" applyBorder="1"/>
    <xf numFmtId="3" fontId="8" fillId="0" borderId="4" xfId="0" applyNumberFormat="1" applyFont="1" applyBorder="1"/>
    <xf numFmtId="9" fontId="8" fillId="0" borderId="3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4" fillId="0" borderId="3" xfId="0" applyFont="1" applyBorder="1"/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4" xfId="0" applyFont="1" applyBorder="1"/>
    <xf numFmtId="3" fontId="20" fillId="0" borderId="14" xfId="0" applyNumberFormat="1" applyFont="1" applyBorder="1" applyAlignment="1">
      <alignment horizontal="center"/>
    </xf>
    <xf numFmtId="3" fontId="0" fillId="0" borderId="0" xfId="0" applyNumberFormat="1"/>
    <xf numFmtId="165" fontId="5" fillId="0" borderId="0" xfId="0" applyNumberFormat="1" applyFont="1"/>
    <xf numFmtId="166" fontId="1" fillId="0" borderId="13" xfId="1" applyNumberFormat="1" applyFont="1" applyFill="1" applyBorder="1" applyAlignment="1">
      <alignment horizontal="right"/>
    </xf>
    <xf numFmtId="166" fontId="1" fillId="0" borderId="14" xfId="1" applyNumberFormat="1" applyFont="1" applyFill="1" applyBorder="1" applyAlignment="1">
      <alignment horizontal="right"/>
    </xf>
    <xf numFmtId="9" fontId="0" fillId="0" borderId="15" xfId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9" fontId="12" fillId="0" borderId="0" xfId="1" applyFont="1" applyAlignment="1">
      <alignment horizontal="left"/>
    </xf>
    <xf numFmtId="0" fontId="18" fillId="0" borderId="15" xfId="0" applyFont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65" fontId="13" fillId="0" borderId="0" xfId="0" applyNumberFormat="1" applyFont="1"/>
    <xf numFmtId="165" fontId="21" fillId="0" borderId="0" xfId="0" applyNumberFormat="1" applyFont="1"/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9" fontId="1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165" fontId="22" fillId="0" borderId="0" xfId="0" applyNumberFormat="1" applyFont="1"/>
    <xf numFmtId="0" fontId="0" fillId="7" borderId="13" xfId="0" applyFill="1" applyBorder="1" applyAlignment="1">
      <alignment horizontal="right"/>
    </xf>
    <xf numFmtId="165" fontId="0" fillId="7" borderId="12" xfId="0" applyNumberFormat="1" applyFill="1" applyBorder="1" applyAlignment="1">
      <alignment horizontal="right"/>
    </xf>
    <xf numFmtId="0" fontId="0" fillId="7" borderId="14" xfId="0" applyFill="1" applyBorder="1" applyAlignment="1">
      <alignment horizontal="right"/>
    </xf>
    <xf numFmtId="166" fontId="1" fillId="7" borderId="13" xfId="1" applyNumberFormat="1" applyFont="1" applyFill="1" applyBorder="1" applyAlignment="1">
      <alignment horizontal="right"/>
    </xf>
    <xf numFmtId="166" fontId="1" fillId="7" borderId="14" xfId="1" applyNumberFormat="1" applyFont="1" applyFill="1" applyBorder="1" applyAlignment="1">
      <alignment horizontal="right"/>
    </xf>
    <xf numFmtId="0" fontId="2" fillId="0" borderId="13" xfId="0" applyFont="1" applyBorder="1"/>
    <xf numFmtId="165" fontId="0" fillId="6" borderId="0" xfId="0" applyNumberFormat="1" applyFill="1"/>
    <xf numFmtId="168" fontId="2" fillId="10" borderId="0" xfId="0" applyNumberFormat="1" applyFont="1" applyFill="1"/>
    <xf numFmtId="9" fontId="0" fillId="0" borderId="0" xfId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9" fontId="0" fillId="0" borderId="4" xfId="1" applyFont="1" applyBorder="1" applyAlignment="1">
      <alignment horizontal="left"/>
    </xf>
    <xf numFmtId="165" fontId="4" fillId="0" borderId="5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11" borderId="7" xfId="0" applyNumberFormat="1" applyFill="1" applyBorder="1"/>
    <xf numFmtId="165" fontId="0" fillId="5" borderId="5" xfId="0" applyNumberFormat="1" applyFill="1" applyBorder="1"/>
    <xf numFmtId="165" fontId="0" fillId="5" borderId="10" xfId="0" applyNumberFormat="1" applyFill="1" applyBorder="1"/>
    <xf numFmtId="165" fontId="0" fillId="10" borderId="7" xfId="0" applyNumberFormat="1" applyFill="1" applyBorder="1"/>
    <xf numFmtId="165" fontId="0" fillId="10" borderId="0" xfId="0" applyNumberFormat="1" applyFill="1"/>
    <xf numFmtId="9" fontId="0" fillId="0" borderId="0" xfId="1" applyFont="1"/>
    <xf numFmtId="165" fontId="9" fillId="0" borderId="7" xfId="0" applyNumberFormat="1" applyFont="1" applyBorder="1" applyAlignment="1">
      <alignment horizontal="center"/>
    </xf>
    <xf numFmtId="165" fontId="23" fillId="0" borderId="3" xfId="0" applyNumberFormat="1" applyFont="1" applyBorder="1"/>
    <xf numFmtId="9" fontId="18" fillId="0" borderId="13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10" borderId="7" xfId="0" applyNumberFormat="1" applyFont="1" applyFill="1" applyBorder="1" applyAlignment="1">
      <alignment horizontal="center"/>
    </xf>
    <xf numFmtId="168" fontId="12" fillId="5" borderId="0" xfId="0" applyNumberFormat="1" applyFont="1" applyFill="1" applyAlignment="1">
      <alignment horizontal="center"/>
    </xf>
    <xf numFmtId="168" fontId="0" fillId="5" borderId="7" xfId="0" applyNumberFormat="1" applyFill="1" applyBorder="1"/>
    <xf numFmtId="168" fontId="0" fillId="0" borderId="0" xfId="0" applyNumberFormat="1" applyAlignment="1">
      <alignment horizontal="center"/>
    </xf>
    <xf numFmtId="170" fontId="0" fillId="5" borderId="6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8" fontId="0" fillId="10" borderId="0" xfId="0" applyNumberFormat="1" applyFill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7" fillId="0" borderId="0" xfId="0" applyNumberFormat="1" applyFont="1" applyAlignment="1">
      <alignment horizontal="left"/>
    </xf>
    <xf numFmtId="168" fontId="12" fillId="0" borderId="0" xfId="0" applyNumberFormat="1" applyFont="1"/>
    <xf numFmtId="168" fontId="12" fillId="10" borderId="7" xfId="0" applyNumberFormat="1" applyFont="1" applyFill="1" applyBorder="1"/>
    <xf numFmtId="168" fontId="12" fillId="5" borderId="0" xfId="0" applyNumberFormat="1" applyFont="1" applyFill="1"/>
    <xf numFmtId="165" fontId="2" fillId="0" borderId="5" xfId="0" applyNumberFormat="1" applyFont="1" applyBorder="1"/>
    <xf numFmtId="165" fontId="2" fillId="0" borderId="6" xfId="0" applyNumberFormat="1" applyFont="1" applyBorder="1"/>
    <xf numFmtId="165" fontId="24" fillId="0" borderId="4" xfId="0" applyNumberFormat="1" applyFont="1" applyBorder="1"/>
    <xf numFmtId="165" fontId="24" fillId="0" borderId="6" xfId="0" applyNumberFormat="1" applyFont="1" applyBorder="1"/>
    <xf numFmtId="165" fontId="0" fillId="0" borderId="10" xfId="0" applyNumberFormat="1" applyBorder="1" applyAlignment="1">
      <alignment horizontal="center"/>
    </xf>
    <xf numFmtId="165" fontId="25" fillId="0" borderId="9" xfId="0" applyNumberFormat="1" applyFont="1" applyBorder="1" applyAlignment="1">
      <alignment horizontal="center"/>
    </xf>
    <xf numFmtId="165" fontId="26" fillId="0" borderId="13" xfId="0" applyNumberFormat="1" applyFont="1" applyBorder="1" applyAlignment="1">
      <alignment horizontal="center"/>
    </xf>
    <xf numFmtId="165" fontId="24" fillId="0" borderId="14" xfId="0" applyNumberFormat="1" applyFont="1" applyBorder="1"/>
    <xf numFmtId="165" fontId="24" fillId="0" borderId="13" xfId="0" applyNumberFormat="1" applyFont="1" applyBorder="1"/>
    <xf numFmtId="165" fontId="25" fillId="0" borderId="13" xfId="0" applyNumberFormat="1" applyFont="1" applyBorder="1"/>
    <xf numFmtId="169" fontId="0" fillId="0" borderId="0" xfId="1" applyNumberFormat="1" applyFont="1" applyBorder="1" applyAlignment="1">
      <alignment horizontal="center"/>
    </xf>
    <xf numFmtId="0" fontId="5" fillId="0" borderId="0" xfId="0" applyFont="1"/>
    <xf numFmtId="165" fontId="26" fillId="0" borderId="0" xfId="0" applyNumberFormat="1" applyFont="1"/>
    <xf numFmtId="165" fontId="0" fillId="0" borderId="13" xfId="0" applyNumberFormat="1" applyBorder="1" applyAlignment="1">
      <alignment horizontal="left"/>
    </xf>
    <xf numFmtId="0" fontId="5" fillId="0" borderId="13" xfId="0" applyFont="1" applyBorder="1"/>
    <xf numFmtId="0" fontId="5" fillId="0" borderId="0" xfId="0" applyFont="1" applyAlignment="1">
      <alignment horizontal="right"/>
    </xf>
    <xf numFmtId="165" fontId="5" fillId="0" borderId="13" xfId="0" applyNumberFormat="1" applyFont="1" applyBorder="1"/>
    <xf numFmtId="0" fontId="2" fillId="0" borderId="0" xfId="0" applyFont="1" applyAlignment="1">
      <alignment horizontal="right"/>
    </xf>
    <xf numFmtId="171" fontId="0" fillId="5" borderId="6" xfId="0" applyNumberFormat="1" applyFill="1" applyBorder="1" applyAlignment="1">
      <alignment horizontal="center"/>
    </xf>
    <xf numFmtId="172" fontId="0" fillId="5" borderId="6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173" fontId="15" fillId="0" borderId="13" xfId="0" applyNumberFormat="1" applyFont="1" applyBorder="1" applyAlignment="1">
      <alignment horizontal="center"/>
    </xf>
    <xf numFmtId="173" fontId="8" fillId="0" borderId="13" xfId="0" applyNumberFormat="1" applyFont="1" applyBorder="1" applyAlignment="1">
      <alignment horizontal="center"/>
    </xf>
    <xf numFmtId="173" fontId="8" fillId="0" borderId="3" xfId="0" applyNumberFormat="1" applyFont="1" applyBorder="1" applyAlignment="1">
      <alignment horizontal="center"/>
    </xf>
    <xf numFmtId="173" fontId="15" fillId="0" borderId="3" xfId="0" applyNumberFormat="1" applyFont="1" applyBorder="1" applyAlignment="1">
      <alignment horizontal="center"/>
    </xf>
    <xf numFmtId="9" fontId="0" fillId="7" borderId="13" xfId="0" applyNumberFormat="1" applyFill="1" applyBorder="1"/>
    <xf numFmtId="9" fontId="0" fillId="9" borderId="13" xfId="0" applyNumberFormat="1" applyFill="1" applyBorder="1"/>
    <xf numFmtId="9" fontId="0" fillId="8" borderId="13" xfId="0" applyNumberFormat="1" applyFill="1" applyBorder="1"/>
    <xf numFmtId="9" fontId="0" fillId="4" borderId="13" xfId="0" applyNumberFormat="1" applyFill="1" applyBorder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- year 1'!$C$5:$F$5</c:f>
              <c:strCache>
                <c:ptCount val="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xVal>
          <c:yVal>
            <c:numRef>
              <c:f>'Financial analysis - year 1'!$C$8:$F$8</c:f>
              <c:numCache>
                <c:formatCode>#,##0;\(#,##0\)</c:formatCode>
                <c:ptCount val="4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4C-034B-8AE2-B60FC43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/>
              <a:t>Costs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Variable costs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'Investment project Q2'!$B$31:$B$37</c:f>
              <c:numCache>
                <c:formatCode>#,##0;\(#,##0\)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</c:numCache>
            </c:numRef>
          </c:xVal>
          <c:yVal>
            <c:numRef>
              <c:f>'Investment project Q2'!$F$31:$F$37</c:f>
              <c:numCache>
                <c:formatCode>#,##0;\(#,##0\)</c:formatCode>
                <c:ptCount val="7"/>
                <c:pt idx="0">
                  <c:v>16000</c:v>
                </c:pt>
                <c:pt idx="1">
                  <c:v>24000</c:v>
                </c:pt>
                <c:pt idx="2">
                  <c:v>32000</c:v>
                </c:pt>
                <c:pt idx="3">
                  <c:v>40000</c:v>
                </c:pt>
                <c:pt idx="4">
                  <c:v>48000</c:v>
                </c:pt>
                <c:pt idx="5">
                  <c:v>56000</c:v>
                </c:pt>
                <c:pt idx="6">
                  <c:v>64000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4B-A94C-B9D4-9106CDDA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478047"/>
        <c:axId val="1819371583"/>
      </c:scatterChart>
      <c:scatterChart>
        <c:scatterStyle val="lineMarker"/>
        <c:varyColors val="0"/>
        <c:ser>
          <c:idx val="0"/>
          <c:order val="0"/>
          <c:tx>
            <c:v>Fixed costs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'Investment project Q2'!$B$31:$B$37</c:f>
              <c:numCache>
                <c:formatCode>#,##0;\(#,##0\)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</c:numCache>
            </c:numRef>
          </c:xVal>
          <c:yVal>
            <c:numRef>
              <c:f>'Investment project Q2'!$E$31:$E$37</c:f>
              <c:numCache>
                <c:formatCode>#,##0;\(#,##0\)</c:formatCode>
                <c:ptCount val="7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4B-A94C-B9D4-9106CDDA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453631"/>
        <c:axId val="1842680863"/>
      </c:scatterChart>
      <c:valAx>
        <c:axId val="1836478047"/>
        <c:scaling>
          <c:orientation val="minMax"/>
          <c:max val="4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371583"/>
        <c:crosses val="autoZero"/>
        <c:crossBetween val="midCat"/>
      </c:valAx>
      <c:valAx>
        <c:axId val="181937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6478047"/>
        <c:crosses val="autoZero"/>
        <c:crossBetween val="midCat"/>
      </c:valAx>
      <c:valAx>
        <c:axId val="1842680863"/>
        <c:scaling>
          <c:orientation val="minMax"/>
        </c:scaling>
        <c:delete val="0"/>
        <c:axPos val="r"/>
        <c:numFmt formatCode="#,##0;\(#,##0\)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2453631"/>
        <c:crosses val="max"/>
        <c:crossBetween val="midCat"/>
      </c:valAx>
      <c:valAx>
        <c:axId val="1842453631"/>
        <c:scaling>
          <c:orientation val="minMax"/>
        </c:scaling>
        <c:delete val="1"/>
        <c:axPos val="b"/>
        <c:numFmt formatCode="#,##0;\(#,##0\)" sourceLinked="1"/>
        <c:majorTickMark val="out"/>
        <c:minorTickMark val="none"/>
        <c:tickLblPos val="nextTo"/>
        <c:crossAx val="1842680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April-2'!$C$5:$J$5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xVal>
          <c:yVal>
            <c:numRef>
              <c:f>'Financial analysis April-2'!$C$8:$J$8</c:f>
              <c:numCache>
                <c:formatCode>#,##0;\(#,##0\)</c:formatCode>
                <c:ptCount val="8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B-FA46-B7BE-556A3C06F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- operations</a:t>
            </a:r>
            <a:endParaRPr lang="fr-FR" sz="1800"/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April-2'!$C$47:$J$47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xVal>
          <c:yVal>
            <c:numRef>
              <c:f>'Financial analysis April-2'!$C$54:$J$54</c:f>
              <c:numCache>
                <c:formatCode>0%;\(0%\)</c:formatCode>
                <c:ptCount val="8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AB-7A47-A4FB-C4D2523D926D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April-2'!$C$47:$J$47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xVal>
          <c:yVal>
            <c:numRef>
              <c:f>'Financial analysis April-2'!$C$60:$J$60</c:f>
              <c:numCache>
                <c:formatCode>0%;\(0%\)</c:formatCode>
                <c:ptCount val="8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AB-7A47-A4FB-C4D2523D9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May-2'!$C$5:$K$5</c:f>
              <c:strCache>
                <c:ptCount val="9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</c:strCache>
            </c:strRef>
          </c:xVal>
          <c:yVal>
            <c:numRef>
              <c:f>'Financial analysis May-2'!$C$8:$K$8</c:f>
              <c:numCache>
                <c:formatCode>#,##0;\(#,##0\)</c:formatCode>
                <c:ptCount val="9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E-C948-9D55-9280D256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- operations</a:t>
            </a:r>
            <a:endParaRPr lang="fr-FR" sz="1800"/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May-2'!$C$47:$K$47</c:f>
              <c:strCache>
                <c:ptCount val="9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</c:strCache>
            </c:strRef>
          </c:xVal>
          <c:yVal>
            <c:numRef>
              <c:f>'Financial analysis May-2'!$C$54:$K$54</c:f>
              <c:numCache>
                <c:formatCode>0%;\(0%\)</c:formatCode>
                <c:ptCount val="9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A-F64F-8CDF-281349B1BC48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May-2'!$C$47:$K$47</c:f>
              <c:strCache>
                <c:ptCount val="9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</c:strCache>
            </c:strRef>
          </c:xVal>
          <c:yVal>
            <c:numRef>
              <c:f>'Financial analysis May-2'!$C$60:$K$60</c:f>
              <c:numCache>
                <c:formatCode>0%;\(0%\)</c:formatCode>
                <c:ptCount val="9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5A-F64F-8CDF-281349B1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June-2'!$C$5:$L$5</c:f>
              <c:strCache>
                <c:ptCount val="10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</c:strCache>
            </c:strRef>
          </c:xVal>
          <c:yVal>
            <c:numRef>
              <c:f>'Financial analysis June-2'!$C$8:$L$8</c:f>
              <c:numCache>
                <c:formatCode>#,##0;\(#,##0\)</c:formatCode>
                <c:ptCount val="10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C6-8C46-A0F8-16E30F0E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 - operations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June-2'!$C$47:$L$47</c:f>
              <c:strCache>
                <c:ptCount val="10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</c:strCache>
            </c:strRef>
          </c:xVal>
          <c:yVal>
            <c:numRef>
              <c:f>'Financial analysis June-2'!$C$54:$L$54</c:f>
              <c:numCache>
                <c:formatCode>0%;\(0%\)</c:formatCode>
                <c:ptCount val="10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53-DA4B-A95F-F47E9D23DC30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June-2'!$C$47:$L$47</c:f>
              <c:strCache>
                <c:ptCount val="10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</c:strCache>
            </c:strRef>
          </c:xVal>
          <c:yVal>
            <c:numRef>
              <c:f>'Financial analysis June-2'!$C$60:$L$60</c:f>
              <c:numCache>
                <c:formatCode>0%;\(0%\)</c:formatCode>
                <c:ptCount val="10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53-DA4B-A95F-F47E9D23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'Development plan Q3'!$D$76:$J$76</c:f>
              <c:numCache>
                <c:formatCode>General</c:formatCode>
                <c:ptCount val="7"/>
              </c:numCache>
            </c:numRef>
          </c:xVal>
          <c:yVal>
            <c:numRef>
              <c:f>'Development plan Q3'!$D$89:$J$89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B-9847-AE12-E11DE02C5A41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'Development plan Q3'!$D$76:$J$76</c:f>
              <c:numCache>
                <c:formatCode>General</c:formatCode>
                <c:ptCount val="7"/>
              </c:numCache>
            </c:numRef>
          </c:xVal>
          <c:yVal>
            <c:numRef>
              <c:f>'Development plan Q3'!$D$95:$J$95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DB-9847-AE12-E11DE02C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July-1'!$C$5:$M$5</c:f>
              <c:strCache>
                <c:ptCount val="11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</c:strCache>
            </c:strRef>
          </c:xVal>
          <c:yVal>
            <c:numRef>
              <c:f>'Financial analysis July-1'!$C$8:$M$8</c:f>
              <c:numCache>
                <c:formatCode>#,##0;\(#,##0\)</c:formatCode>
                <c:ptCount val="11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C5-AF4E-AB67-4F2A5897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- Operation</a:t>
            </a:r>
            <a:r>
              <a:rPr lang="fr-FR" sz="1800"/>
              <a:t>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July-1'!$C$47:$M$47</c:f>
              <c:strCache>
                <c:ptCount val="11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</c:strCache>
            </c:strRef>
          </c:xVal>
          <c:yVal>
            <c:numRef>
              <c:f>'Financial analysis July-1'!$C$54:$M$54</c:f>
              <c:numCache>
                <c:formatCode>0%;\(0%\)</c:formatCode>
                <c:ptCount val="11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B-1C45-9A6B-66ED94871627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July-1'!$C$47:$M$47</c:f>
              <c:strCache>
                <c:ptCount val="11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</c:strCache>
            </c:strRef>
          </c:xVal>
          <c:yVal>
            <c:numRef>
              <c:f>'Financial analysis July-1'!$C$60:$M$60</c:f>
              <c:numCache>
                <c:formatCode>0%;\(0%\)</c:formatCode>
                <c:ptCount val="11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BB-1C45-9A6B-66ED9487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- operations</a:t>
            </a:r>
            <a:endParaRPr lang="fr-FR" sz="1800"/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- year 1'!$C$39:$F$39</c:f>
              <c:strCache>
                <c:ptCount val="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xVal>
          <c:yVal>
            <c:numRef>
              <c:f>'Financial analysis - year 1'!$C$46:$F$46</c:f>
              <c:numCache>
                <c:formatCode>0%;\(0%\)</c:formatCode>
                <c:ptCount val="4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0D-7447-8DFD-35E9774E9594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- year 1'!$C$39:$F$39</c:f>
              <c:strCache>
                <c:ptCount val="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xVal>
          <c:yVal>
            <c:numRef>
              <c:f>'Financial analysis - year 1'!$C$51:$F$51</c:f>
              <c:numCache>
                <c:formatCode>0%;\(0%\)</c:formatCode>
                <c:ptCount val="4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0D-7447-8DFD-35E9774E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August-2'!$C$5:$N$5</c:f>
              <c:strCache>
                <c:ptCount val="12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</c:strCache>
            </c:strRef>
          </c:xVal>
          <c:yVal>
            <c:numRef>
              <c:f>'Financial analysis August-2'!$C$8:$N$8</c:f>
              <c:numCache>
                <c:formatCode>#,##0;\(#,##0\)</c:formatCode>
                <c:ptCount val="12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5-0D41-8593-E2E11B97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 - Operations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August-2'!$C$47:$N$47</c:f>
              <c:strCache>
                <c:ptCount val="12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</c:strCache>
            </c:strRef>
          </c:xVal>
          <c:yVal>
            <c:numRef>
              <c:f>'Financial analysis August-2'!$C$54:$N$54</c:f>
              <c:numCache>
                <c:formatCode>0%;\(0%\)</c:formatCode>
                <c:ptCount val="12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91-EA48-9ECF-4A5FD7F484BE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August-2'!$C$47:$N$47</c:f>
              <c:strCache>
                <c:ptCount val="12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</c:strCache>
            </c:strRef>
          </c:xVal>
          <c:yVal>
            <c:numRef>
              <c:f>'Financial analysis August-2'!$C$60:$N$60</c:f>
              <c:numCache>
                <c:formatCode>0%;\(0%\)</c:formatCode>
                <c:ptCount val="12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91-EA48-9ECF-4A5FD7F4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September-2'!$C$5:$O$5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xVal>
          <c:yVal>
            <c:numRef>
              <c:f>'Financial analysis September-2'!$C$8:$O$8</c:f>
              <c:numCache>
                <c:formatCode>#,##0;\(#,##0\)</c:formatCode>
                <c:ptCount val="13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D-C046-953E-DF75D7A2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 -  Operation</a:t>
            </a:r>
            <a:r>
              <a:rPr lang="fr-FR" sz="1800"/>
              <a:t>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September-2'!$C$47:$O$47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xVal>
          <c:yVal>
            <c:numRef>
              <c:f>'Financial analysis September-2'!$C$54:$O$54</c:f>
              <c:numCache>
                <c:formatCode>0%;\(0%\)</c:formatCode>
                <c:ptCount val="13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40-9640-9941-EC52BB6836C7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September-2'!$C$47:$O$47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xVal>
          <c:yVal>
            <c:numRef>
              <c:f>'Financial analysis September-2'!$C$60:$O$60</c:f>
              <c:numCache>
                <c:formatCode>0%;\(0%\)</c:formatCode>
                <c:ptCount val="13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40-9640-9941-EC52BB68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'Development plan Q4'!$D$81:$J$81</c:f>
              <c:numCache>
                <c:formatCode>General</c:formatCode>
                <c:ptCount val="7"/>
              </c:numCache>
            </c:numRef>
          </c:xVal>
          <c:yVal>
            <c:numRef>
              <c:f>'Development plan Q4'!$D$94:$J$94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D-8C4A-882F-5CB4445E8CFD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'Development plan Q4'!$D$81:$J$81</c:f>
              <c:numCache>
                <c:formatCode>General</c:formatCode>
                <c:ptCount val="7"/>
              </c:numCache>
            </c:numRef>
          </c:xVal>
          <c:yVal>
            <c:numRef>
              <c:f>'Development plan Q4'!$D$100:$J$100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6D-8C4A-882F-5CB4445E8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October-2'!$C$5:$P$5</c:f>
              <c:strCache>
                <c:ptCount val="1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</c:strCache>
            </c:strRef>
          </c:xVal>
          <c:yVal>
            <c:numRef>
              <c:f>'Financial analysis October-2'!$C$8:$P$8</c:f>
              <c:numCache>
                <c:formatCode>#,##0;\(#,##0\)</c:formatCode>
                <c:ptCount val="14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1B-404F-8DF5-E5A90C0D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 -  Operations</a:t>
            </a:r>
            <a:endParaRPr lang="fr-FR" sz="1800"/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October-2'!$C$48:$P$48</c:f>
              <c:strCache>
                <c:ptCount val="1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</c:strCache>
            </c:strRef>
          </c:xVal>
          <c:yVal>
            <c:numRef>
              <c:f>'Financial analysis October-2'!$C$55:$P$55</c:f>
              <c:numCache>
                <c:formatCode>0%;\(0%\)</c:formatCode>
                <c:ptCount val="14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91-CA4A-9781-877393A9C360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October-2'!$C$48:$P$48</c:f>
              <c:strCache>
                <c:ptCount val="14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</c:strCache>
            </c:strRef>
          </c:xVal>
          <c:yVal>
            <c:numRef>
              <c:f>'Financial analysis October-2'!$C$62:$P$62</c:f>
              <c:numCache>
                <c:formatCode>0%;\(0%\)</c:formatCode>
                <c:ptCount val="14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1-CA4A-9781-877393A9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November - 2'!$C$5:$Q$5</c:f>
              <c:strCache>
                <c:ptCount val="1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</c:strCache>
            </c:strRef>
          </c:xVal>
          <c:yVal>
            <c:numRef>
              <c:f>'Financial analysis November - 2'!$C$8:$Q$8</c:f>
              <c:numCache>
                <c:formatCode>#,##0;\(#,##0\)</c:formatCode>
                <c:ptCount val="15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  <c:pt idx="14">
                  <c:v>262500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C-654F-B57D-EE7BDC16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 -  Operations</a:t>
            </a:r>
            <a:endParaRPr lang="fr-FR" sz="1800"/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November - 2'!$C$48:$Q$48</c:f>
              <c:strCache>
                <c:ptCount val="1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</c:strCache>
            </c:strRef>
          </c:xVal>
          <c:yVal>
            <c:numRef>
              <c:f>'Financial analysis November - 2'!$C$55:$Q$55</c:f>
              <c:numCache>
                <c:formatCode>0%;\(0%\)</c:formatCode>
                <c:ptCount val="15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  <c:pt idx="14">
                  <c:v>0.34287401847158783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0-2743-A186-1EEAD9B09788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November - 2'!$C$48:$Q$48</c:f>
              <c:strCache>
                <c:ptCount val="1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</c:strCache>
            </c:strRef>
          </c:xVal>
          <c:yVal>
            <c:numRef>
              <c:f>'Financial analysis November - 2'!$C$62:$Q$62</c:f>
              <c:numCache>
                <c:formatCode>0%;\(0%\)</c:formatCode>
                <c:ptCount val="15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  <c:pt idx="14">
                  <c:v>0.23277878037634972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D0-2743-A186-1EEAD9B09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1990015948201199E-2"/>
          <c:y val="0.22621764596137481"/>
          <c:w val="0.93568298022303587"/>
          <c:h val="0.67049283592129982"/>
        </c:manualLayout>
      </c:layout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December-2'!$C$5:$R$5</c:f>
              <c:strCache>
                <c:ptCount val="1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</c:strCache>
            </c:strRef>
          </c:xVal>
          <c:yVal>
            <c:numRef>
              <c:f>'Financial analysis December-2'!$C$8:$R$8</c:f>
              <c:numCache>
                <c:formatCode>#,##0;\(#,##0\)</c:formatCode>
                <c:ptCount val="16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  <c:pt idx="14">
                  <c:v>262500</c:v>
                </c:pt>
                <c:pt idx="15">
                  <c:v>360000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85-DC45-89CD-55952978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January-2'!$C$5:$G$5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xVal>
          <c:yVal>
            <c:numRef>
              <c:f>'Financial analysis January-2'!$C$8:$G$8</c:f>
              <c:numCache>
                <c:formatCode>#,##0;\(#,##0\)</c:formatCode>
                <c:ptCount val="5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0-804C-982E-027FF748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 -  Operations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December-2'!$C$48:$R$48</c:f>
              <c:strCache>
                <c:ptCount val="1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</c:strCache>
            </c:strRef>
          </c:xVal>
          <c:yVal>
            <c:numRef>
              <c:f>'Financial analysis December-2'!$C$55:$R$55</c:f>
              <c:numCache>
                <c:formatCode>0%;\(0%\)</c:formatCode>
                <c:ptCount val="16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  <c:pt idx="14">
                  <c:v>0.34287401847158783</c:v>
                </c:pt>
                <c:pt idx="15">
                  <c:v>0.36046110825771838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B8-6F4E-A44D-148CE8D5F0B0}"/>
            </c:ext>
          </c:extLst>
        </c:ser>
        <c:ser>
          <c:idx val="1"/>
          <c:order val="1"/>
          <c:tx>
            <c:v>Current 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December-2'!$C$48:$R$48</c:f>
              <c:strCache>
                <c:ptCount val="1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</c:strCache>
            </c:strRef>
          </c:xVal>
          <c:yVal>
            <c:numRef>
              <c:f>'Financial analysis December-2'!$C$62:$R$62</c:f>
              <c:numCache>
                <c:formatCode>0%;\(0%\)</c:formatCode>
                <c:ptCount val="1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  <c:pt idx="14">
                  <c:v>0.23277878037634972</c:v>
                </c:pt>
                <c:pt idx="15">
                  <c:v>0.2801833304799406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B8-6F4E-A44D-148CE8D5F0B0}"/>
            </c:ext>
          </c:extLst>
        </c:ser>
        <c:ser>
          <c:idx val="2"/>
          <c:order val="2"/>
          <c:tx>
            <c:v>EBITDA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'Analyse financière décembre-2'!#REF!</c:f>
            </c:numRef>
          </c:xVal>
          <c:yVal>
            <c:numRef>
              <c:f>'Financial analysis December-2'!$C$76:$R$76</c:f>
              <c:numCache>
                <c:formatCode>0%</c:formatCode>
                <c:ptCount val="1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0.15272727272727271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0.13523809523809524</c:v>
                </c:pt>
                <c:pt idx="8">
                  <c:v>0.11296733569460841</c:v>
                </c:pt>
                <c:pt idx="9">
                  <c:v>0.21821250028797193</c:v>
                </c:pt>
                <c:pt idx="10">
                  <c:v>0.26280926212141231</c:v>
                </c:pt>
                <c:pt idx="11">
                  <c:v>0.2548623036584447</c:v>
                </c:pt>
                <c:pt idx="12">
                  <c:v>0.21509470067397912</c:v>
                </c:pt>
                <c:pt idx="13">
                  <c:v>0.21370232575587061</c:v>
                </c:pt>
                <c:pt idx="14">
                  <c:v>0.25754068513825445</c:v>
                </c:pt>
                <c:pt idx="15">
                  <c:v>0.29823888603549614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58-F945-A06B-43414615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  -  operations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January-2'!$C$42:$G$42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xVal>
          <c:yVal>
            <c:numRef>
              <c:f>'Financial analysis January-2'!$C$49:$G$49</c:f>
              <c:numCache>
                <c:formatCode>0%;\(0%\)</c:formatCode>
                <c:ptCount val="5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A-2347-9BBE-E72CD57CB9A5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January-2'!$C$42:$G$42</c:f>
              <c:strCache>
                <c:ptCount val="5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</c:strCache>
            </c:strRef>
          </c:xVal>
          <c:yVal>
            <c:numRef>
              <c:f>'Financial analysis January-2'!$C$54:$G$54</c:f>
              <c:numCache>
                <c:formatCode>0%;\(0%\)</c:formatCode>
                <c:ptCount val="5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A-2347-9BBE-E72CD57C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February-2'!$C$5:$H$5</c:f>
              <c:strCache>
                <c:ptCount val="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</c:strCache>
            </c:strRef>
          </c:xVal>
          <c:yVal>
            <c:numRef>
              <c:f>'Financial analysis February-2'!$C$8:$H$8</c:f>
              <c:numCache>
                <c:formatCode>#,##0;\(#,##0\)</c:formatCode>
                <c:ptCount val="6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A8-AD43-95DF-B1FBEB74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</a:t>
            </a:r>
            <a:r>
              <a:rPr lang="fr-FR" sz="1800" baseline="0"/>
              <a:t> - operation</a:t>
            </a:r>
            <a:r>
              <a:rPr lang="fr-FR" sz="1800"/>
              <a:t>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February-2'!$C$43:$H$43</c:f>
              <c:strCache>
                <c:ptCount val="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</c:strCache>
            </c:strRef>
          </c:xVal>
          <c:yVal>
            <c:numRef>
              <c:f>'Financial analysis February-2'!$C$50:$H$50</c:f>
              <c:numCache>
                <c:formatCode>0%;\(0%\)</c:formatCode>
                <c:ptCount val="6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03-9248-A288-F2141A417A9B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February-2'!$C$43:$H$43</c:f>
              <c:strCache>
                <c:ptCount val="6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</c:strCache>
            </c:strRef>
          </c:xVal>
          <c:yVal>
            <c:numRef>
              <c:f>'Financial analysis February-2'!$C$56:$H$56</c:f>
              <c:numCache>
                <c:formatCode>0%;\(0%\)</c:formatCode>
                <c:ptCount val="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03-9248-A288-F2141A41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March-2'!$C$5:$I$5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xVal>
          <c:yVal>
            <c:numRef>
              <c:f>'Financial analysis March-2'!$C$8:$I$8</c:f>
              <c:numCache>
                <c:formatCode>#,##0;\(#,##0\)</c:formatCode>
                <c:ptCount val="7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F-0C4D-A269-683E41C9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Margins - operations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Gross margin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'Financial analysis March-2'!$C$43:$I$43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xVal>
          <c:yVal>
            <c:numRef>
              <c:f>'Financial analysis March-2'!$C$50:$I$50</c:f>
              <c:numCache>
                <c:formatCode>0%;\(0%\)</c:formatCode>
                <c:ptCount val="7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6F-ED4C-BBD4-8AF5F2FEA063}"/>
            </c:ext>
          </c:extLst>
        </c:ser>
        <c:ser>
          <c:idx val="1"/>
          <c:order val="1"/>
          <c:tx>
            <c:v>Operating margin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'Financial analysis March-2'!$C$43:$I$43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xVal>
          <c:yVal>
            <c:numRef>
              <c:f>'Financial analysis March-2'!$C$56:$I$56</c:f>
              <c:numCache>
                <c:formatCode>0%;\(0%\)</c:formatCode>
                <c:ptCount val="7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F-ED4C-BBD4-8AF5F2FE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'Investment project Q2'!$C$69:$I$69</c:f>
              <c:numCache>
                <c:formatCode>General</c:formatCode>
                <c:ptCount val="7"/>
              </c:numCache>
            </c:numRef>
          </c:xVal>
          <c:yVal>
            <c:numRef>
              <c:f>'Investment project Q2'!$C$85:$I$85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E4-414C-9DFE-E7D4A815070B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'Investment project Q2'!$C$69:$I$69</c:f>
              <c:numCache>
                <c:formatCode>General</c:formatCode>
                <c:ptCount val="7"/>
              </c:numCache>
            </c:numRef>
          </c:xVal>
          <c:yVal>
            <c:numRef>
              <c:f>'Investment project Q2'!$C$91:$I$91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E4-414C-9DFE-E7D4A815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42332</xdr:rowOff>
    </xdr:from>
    <xdr:to>
      <xdr:col>5</xdr:col>
      <xdr:colOff>821266</xdr:colOff>
      <xdr:row>36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87BD34-A3ED-844B-BE74-8174CB1B9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56</xdr:row>
      <xdr:rowOff>12699</xdr:rowOff>
    </xdr:from>
    <xdr:to>
      <xdr:col>6</xdr:col>
      <xdr:colOff>16933</xdr:colOff>
      <xdr:row>70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61338D-A517-5145-9174-E9D87779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13</xdr:col>
      <xdr:colOff>8466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93CECF7-ADA6-0D45-8504-393523E62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13</xdr:col>
      <xdr:colOff>8466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E789E4-093C-3A43-A2E9-8E26C20B1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14</xdr:col>
      <xdr:colOff>8466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ED1EFD0-F9C6-9746-99D3-9BCD5D9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14</xdr:col>
      <xdr:colOff>8466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943FBEE-8F97-3C48-A1AB-D49ED6F94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15</xdr:col>
      <xdr:colOff>33867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E72468-6292-3948-97AE-25BD45137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15</xdr:col>
      <xdr:colOff>33867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896B16-84A5-804F-86EC-86E31830B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8464</xdr:colOff>
      <xdr:row>108</xdr:row>
      <xdr:rowOff>12699</xdr:rowOff>
    </xdr:from>
    <xdr:to>
      <xdr:col>10</xdr:col>
      <xdr:colOff>8466</xdr:colOff>
      <xdr:row>122</xdr:row>
      <xdr:rowOff>194732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7A3607-B93A-3E4C-BF02-9F909F25C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31</xdr:row>
      <xdr:rowOff>42332</xdr:rowOff>
    </xdr:from>
    <xdr:to>
      <xdr:col>16</xdr:col>
      <xdr:colOff>16934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E3CC5B-951A-224A-89F7-04DA55E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74</xdr:row>
      <xdr:rowOff>12699</xdr:rowOff>
    </xdr:from>
    <xdr:to>
      <xdr:col>16</xdr:col>
      <xdr:colOff>8467</xdr:colOff>
      <xdr:row>88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2E119F6-C410-634B-9D8C-EC78FFA4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31</xdr:row>
      <xdr:rowOff>42332</xdr:rowOff>
    </xdr:from>
    <xdr:to>
      <xdr:col>17</xdr:col>
      <xdr:colOff>8466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B9A6CEC-0A63-6C47-B67F-1C79C4C7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74</xdr:row>
      <xdr:rowOff>12699</xdr:rowOff>
    </xdr:from>
    <xdr:to>
      <xdr:col>17</xdr:col>
      <xdr:colOff>16933</xdr:colOff>
      <xdr:row>88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C9BC46F-F926-CD4B-BEEE-79D550CB3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2531531</xdr:colOff>
      <xdr:row>31</xdr:row>
      <xdr:rowOff>42332</xdr:rowOff>
    </xdr:from>
    <xdr:to>
      <xdr:col>17</xdr:col>
      <xdr:colOff>821266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2BE5A1-9FA3-284E-8C7D-EFA62A1AA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8462</xdr:colOff>
      <xdr:row>77</xdr:row>
      <xdr:rowOff>12699</xdr:rowOff>
    </xdr:from>
    <xdr:to>
      <xdr:col>18</xdr:col>
      <xdr:colOff>8466</xdr:colOff>
      <xdr:row>91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D79547-A347-8245-95F2-390B9B16B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25</xdr:row>
      <xdr:rowOff>42332</xdr:rowOff>
    </xdr:from>
    <xdr:to>
      <xdr:col>7</xdr:col>
      <xdr:colOff>25400</xdr:colOff>
      <xdr:row>39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178E68-7D32-2046-BF14-0DA77847A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62</xdr:row>
      <xdr:rowOff>12699</xdr:rowOff>
    </xdr:from>
    <xdr:to>
      <xdr:col>7</xdr:col>
      <xdr:colOff>16934</xdr:colOff>
      <xdr:row>76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DF7E8E-EB2F-A04F-8D8B-79C0359B1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26</xdr:row>
      <xdr:rowOff>42332</xdr:rowOff>
    </xdr:from>
    <xdr:to>
      <xdr:col>8</xdr:col>
      <xdr:colOff>16932</xdr:colOff>
      <xdr:row>40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9C2C5DF-1589-4444-8707-9C7255F71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64</xdr:row>
      <xdr:rowOff>12699</xdr:rowOff>
    </xdr:from>
    <xdr:to>
      <xdr:col>8</xdr:col>
      <xdr:colOff>16933</xdr:colOff>
      <xdr:row>78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B6EABE1-AEFA-B84B-AAAE-FBE2878E3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26</xdr:row>
      <xdr:rowOff>42332</xdr:rowOff>
    </xdr:from>
    <xdr:to>
      <xdr:col>9</xdr:col>
      <xdr:colOff>16933</xdr:colOff>
      <xdr:row>40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B37AE61-1DA3-A048-86B6-67B25B638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64</xdr:row>
      <xdr:rowOff>12699</xdr:rowOff>
    </xdr:from>
    <xdr:to>
      <xdr:col>9</xdr:col>
      <xdr:colOff>8466</xdr:colOff>
      <xdr:row>78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CB221F-9635-CC4C-A07C-C904481F2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8464</xdr:colOff>
      <xdr:row>99</xdr:row>
      <xdr:rowOff>12699</xdr:rowOff>
    </xdr:from>
    <xdr:to>
      <xdr:col>9</xdr:col>
      <xdr:colOff>8466</xdr:colOff>
      <xdr:row>113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77868D6-0B86-8348-AB84-E2F1A70AD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300566</xdr:colOff>
      <xdr:row>38</xdr:row>
      <xdr:rowOff>12700</xdr:rowOff>
    </xdr:from>
    <xdr:to>
      <xdr:col>8</xdr:col>
      <xdr:colOff>821266</xdr:colOff>
      <xdr:row>55</xdr:row>
      <xdr:rowOff>203200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D558417-21C3-3B41-A886-684EEEB44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30</xdr:row>
      <xdr:rowOff>42332</xdr:rowOff>
    </xdr:from>
    <xdr:to>
      <xdr:col>10</xdr:col>
      <xdr:colOff>8467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D9CB3C-9B4C-244F-A328-E0AE732F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72</xdr:row>
      <xdr:rowOff>12699</xdr:rowOff>
    </xdr:from>
    <xdr:to>
      <xdr:col>10</xdr:col>
      <xdr:colOff>8467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A77A892-A823-FC45-95DF-8B0D1A3E2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25398</xdr:colOff>
      <xdr:row>30</xdr:row>
      <xdr:rowOff>42332</xdr:rowOff>
    </xdr:from>
    <xdr:to>
      <xdr:col>11</xdr:col>
      <xdr:colOff>8465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4BAD3D-8E60-F84C-9219-64291A57F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72</xdr:row>
      <xdr:rowOff>12699</xdr:rowOff>
    </xdr:from>
    <xdr:to>
      <xdr:col>11</xdr:col>
      <xdr:colOff>8465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860F9D2-C2D4-414B-A32D-78703CFAB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25398</xdr:colOff>
      <xdr:row>30</xdr:row>
      <xdr:rowOff>42332</xdr:rowOff>
    </xdr:from>
    <xdr:to>
      <xdr:col>12</xdr:col>
      <xdr:colOff>8467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EAAEDD-38AD-F94F-A695-735315496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2531531</xdr:colOff>
      <xdr:row>72</xdr:row>
      <xdr:rowOff>21166</xdr:rowOff>
    </xdr:from>
    <xdr:to>
      <xdr:col>12</xdr:col>
      <xdr:colOff>0</xdr:colOff>
      <xdr:row>86</xdr:row>
      <xdr:rowOff>203199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A23093-F62B-784D-92CA-7637FC5AA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8464</xdr:colOff>
      <xdr:row>103</xdr:row>
      <xdr:rowOff>12699</xdr:rowOff>
    </xdr:from>
    <xdr:to>
      <xdr:col>10</xdr:col>
      <xdr:colOff>8466</xdr:colOff>
      <xdr:row>117</xdr:row>
      <xdr:rowOff>194732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79BC03E-2CD9-4342-B683-C5487D7DB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BAE6-D641-984F-BE11-721B2A1FBD5E}">
  <dimension ref="A1:D44"/>
  <sheetViews>
    <sheetView showGridLines="0" zoomScale="140" zoomScaleNormal="140" workbookViewId="0">
      <selection activeCell="A2" sqref="A2"/>
    </sheetView>
  </sheetViews>
  <sheetFormatPr baseColWidth="10" defaultRowHeight="16"/>
  <cols>
    <col min="1" max="1" width="40" customWidth="1"/>
    <col min="3" max="3" width="6" customWidth="1"/>
    <col min="4" max="4" width="10.83203125" style="46"/>
  </cols>
  <sheetData>
    <row r="1" spans="1:4">
      <c r="A1" s="50"/>
      <c r="B1" s="59"/>
      <c r="C1" s="60"/>
      <c r="D1" s="51"/>
    </row>
    <row r="2" spans="1:4" ht="21">
      <c r="A2" s="52" t="s">
        <v>47</v>
      </c>
      <c r="B2" s="69" t="s">
        <v>48</v>
      </c>
      <c r="C2" s="61"/>
      <c r="D2" s="52" t="s">
        <v>49</v>
      </c>
    </row>
    <row r="3" spans="1:4">
      <c r="A3" s="53"/>
      <c r="B3" s="62"/>
      <c r="C3" s="63"/>
      <c r="D3" s="54"/>
    </row>
    <row r="4" spans="1:4">
      <c r="A4" s="50"/>
      <c r="B4" s="59"/>
      <c r="C4" s="60"/>
      <c r="D4" s="51"/>
    </row>
    <row r="5" spans="1:4" s="45" customFormat="1" ht="19">
      <c r="A5" s="55"/>
      <c r="B5" s="64"/>
      <c r="C5" s="65"/>
      <c r="D5" s="56"/>
    </row>
    <row r="6" spans="1:4" s="45" customFormat="1" ht="19">
      <c r="A6" s="55" t="s">
        <v>50</v>
      </c>
      <c r="B6" s="64">
        <v>30</v>
      </c>
      <c r="C6" s="65" t="s">
        <v>14</v>
      </c>
      <c r="D6" s="56" t="s">
        <v>15</v>
      </c>
    </row>
    <row r="7" spans="1:4" s="45" customFormat="1" ht="19">
      <c r="A7" s="55"/>
      <c r="B7" s="64"/>
      <c r="C7" s="65"/>
      <c r="D7" s="56"/>
    </row>
    <row r="8" spans="1:4" s="45" customFormat="1" ht="19">
      <c r="A8" s="55" t="s">
        <v>51</v>
      </c>
      <c r="B8" s="64">
        <v>25</v>
      </c>
      <c r="C8" s="65" t="s">
        <v>14</v>
      </c>
      <c r="D8" s="56" t="s">
        <v>16</v>
      </c>
    </row>
    <row r="9" spans="1:4" s="45" customFormat="1" ht="19">
      <c r="A9" s="55"/>
      <c r="B9" s="64"/>
      <c r="C9" s="65"/>
      <c r="D9" s="56"/>
    </row>
    <row r="10" spans="1:4" s="45" customFormat="1" ht="19">
      <c r="A10" s="55" t="s">
        <v>52</v>
      </c>
      <c r="B10" s="64">
        <v>20</v>
      </c>
      <c r="C10" s="65" t="s">
        <v>14</v>
      </c>
      <c r="D10" s="56" t="s">
        <v>17</v>
      </c>
    </row>
    <row r="11" spans="1:4" s="45" customFormat="1" ht="19">
      <c r="A11" s="55"/>
      <c r="B11" s="64"/>
      <c r="C11" s="65"/>
      <c r="D11" s="56"/>
    </row>
    <row r="12" spans="1:4" s="45" customFormat="1" ht="19">
      <c r="A12" s="55" t="s">
        <v>53</v>
      </c>
      <c r="B12" s="66">
        <v>0.2</v>
      </c>
      <c r="C12" s="65"/>
      <c r="D12" s="56" t="s">
        <v>18</v>
      </c>
    </row>
    <row r="13" spans="1:4" s="45" customFormat="1" ht="19">
      <c r="A13" s="55"/>
      <c r="B13" s="66"/>
      <c r="C13" s="65"/>
      <c r="D13" s="56"/>
    </row>
    <row r="14" spans="1:4" s="45" customFormat="1" ht="19">
      <c r="A14" s="55" t="s">
        <v>54</v>
      </c>
      <c r="B14" s="273">
        <v>1000</v>
      </c>
      <c r="C14" s="65"/>
      <c r="D14" s="56" t="s">
        <v>32</v>
      </c>
    </row>
    <row r="15" spans="1:4" s="45" customFormat="1" ht="19">
      <c r="A15" s="55"/>
      <c r="B15" s="66"/>
      <c r="C15" s="65"/>
      <c r="D15" s="56"/>
    </row>
    <row r="16" spans="1:4" s="45" customFormat="1" ht="19">
      <c r="A16" s="55" t="s">
        <v>55</v>
      </c>
      <c r="B16" s="273">
        <v>10</v>
      </c>
      <c r="C16" s="65" t="s">
        <v>14</v>
      </c>
      <c r="D16" s="56" t="s">
        <v>33</v>
      </c>
    </row>
    <row r="17" spans="1:4" s="45" customFormat="1" ht="19">
      <c r="A17" s="55"/>
      <c r="B17" s="273"/>
      <c r="C17" s="65"/>
      <c r="D17" s="56"/>
    </row>
    <row r="18" spans="1:4" s="45" customFormat="1" ht="19">
      <c r="A18" s="55" t="s">
        <v>56</v>
      </c>
      <c r="B18" s="273">
        <v>2000</v>
      </c>
      <c r="C18" s="65"/>
      <c r="D18" s="56" t="s">
        <v>37</v>
      </c>
    </row>
    <row r="19" spans="1:4" s="45" customFormat="1" ht="19">
      <c r="A19" s="55"/>
      <c r="B19" s="273"/>
      <c r="C19" s="65"/>
      <c r="D19" s="56"/>
    </row>
    <row r="20" spans="1:4" s="45" customFormat="1" ht="19">
      <c r="A20" s="55" t="s">
        <v>57</v>
      </c>
      <c r="B20" s="273">
        <v>1300</v>
      </c>
      <c r="C20" s="65"/>
      <c r="D20" s="56" t="s">
        <v>38</v>
      </c>
    </row>
    <row r="21" spans="1:4" s="45" customFormat="1" ht="19">
      <c r="A21" s="55"/>
      <c r="B21" s="273"/>
      <c r="C21" s="65"/>
      <c r="D21" s="56"/>
    </row>
    <row r="22" spans="1:4" s="45" customFormat="1" ht="19">
      <c r="A22" s="55" t="s">
        <v>59</v>
      </c>
      <c r="B22" s="273">
        <v>1500</v>
      </c>
      <c r="C22" s="65"/>
      <c r="D22" s="56" t="s">
        <v>39</v>
      </c>
    </row>
    <row r="23" spans="1:4" s="45" customFormat="1" ht="19">
      <c r="A23" s="55"/>
      <c r="B23" s="273"/>
      <c r="C23" s="65"/>
      <c r="D23" s="56"/>
    </row>
    <row r="24" spans="1:4" s="45" customFormat="1" ht="19">
      <c r="A24" s="55" t="s">
        <v>58</v>
      </c>
      <c r="B24" s="273">
        <v>1000</v>
      </c>
      <c r="C24" s="65"/>
      <c r="D24" s="56" t="s">
        <v>40</v>
      </c>
    </row>
    <row r="25" spans="1:4" s="45" customFormat="1" ht="19">
      <c r="A25" s="57"/>
      <c r="B25" s="67"/>
      <c r="C25" s="68"/>
      <c r="D25" s="58"/>
    </row>
    <row r="26" spans="1:4" s="45" customFormat="1" ht="19">
      <c r="D26" s="47"/>
    </row>
    <row r="27" spans="1:4" s="45" customFormat="1" ht="19">
      <c r="D27" s="47"/>
    </row>
    <row r="28" spans="1:4" s="45" customFormat="1" ht="19">
      <c r="D28" s="47"/>
    </row>
    <row r="29" spans="1:4" s="45" customFormat="1" ht="19">
      <c r="D29" s="47"/>
    </row>
    <row r="30" spans="1:4" s="45" customFormat="1" ht="19">
      <c r="D30" s="47"/>
    </row>
    <row r="31" spans="1:4" s="45" customFormat="1" ht="19">
      <c r="D31" s="47"/>
    </row>
    <row r="32" spans="1:4" s="45" customFormat="1" ht="19">
      <c r="D32" s="47"/>
    </row>
    <row r="33" spans="4:4" s="45" customFormat="1" ht="19">
      <c r="D33" s="47"/>
    </row>
    <row r="34" spans="4:4" s="45" customFormat="1" ht="19">
      <c r="D34" s="47"/>
    </row>
    <row r="35" spans="4:4" s="45" customFormat="1" ht="19">
      <c r="D35" s="47"/>
    </row>
    <row r="36" spans="4:4" s="45" customFormat="1" ht="19">
      <c r="D36" s="47"/>
    </row>
    <row r="37" spans="4:4" s="45" customFormat="1" ht="19">
      <c r="D37" s="47"/>
    </row>
    <row r="38" spans="4:4" s="45" customFormat="1" ht="19">
      <c r="D38" s="47"/>
    </row>
    <row r="39" spans="4:4" s="45" customFormat="1" ht="19">
      <c r="D39" s="47"/>
    </row>
    <row r="40" spans="4:4" s="45" customFormat="1" ht="19">
      <c r="D40" s="47"/>
    </row>
    <row r="41" spans="4:4" s="45" customFormat="1" ht="19">
      <c r="D41" s="47"/>
    </row>
    <row r="42" spans="4:4" s="45" customFormat="1" ht="19">
      <c r="D42" s="47"/>
    </row>
    <row r="43" spans="4:4" s="45" customFormat="1" ht="19">
      <c r="D43" s="47"/>
    </row>
    <row r="44" spans="4:4" s="45" customFormat="1" ht="19">
      <c r="D44" s="4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12ED-9534-CC42-9C39-2D276E20CACB}">
  <dimension ref="B2:M91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6640625" style="1" customWidth="1"/>
    <col min="3" max="3" width="14.1640625" style="1" customWidth="1"/>
    <col min="4" max="4" width="24.33203125" style="1" customWidth="1"/>
    <col min="5" max="5" width="6.83203125" style="1" customWidth="1"/>
    <col min="6" max="6" width="9.6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C4" s="2"/>
      <c r="D4" s="1">
        <f>F4*H4+J4*L4</f>
        <v>34500</v>
      </c>
      <c r="F4" s="9">
        <v>650</v>
      </c>
      <c r="G4" s="2" t="s">
        <v>70</v>
      </c>
      <c r="H4" s="1">
        <f>PVB2C</f>
        <v>30</v>
      </c>
      <c r="I4" s="10" t="s">
        <v>71</v>
      </c>
      <c r="J4" s="9">
        <v>600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111">
        <f>-(F6*H6+J6*L6)</f>
        <v>-25000</v>
      </c>
      <c r="F6" s="326">
        <f>F4</f>
        <v>650</v>
      </c>
      <c r="G6" s="25" t="s">
        <v>70</v>
      </c>
      <c r="H6" s="33">
        <f>PAP</f>
        <v>20</v>
      </c>
      <c r="I6" s="8" t="s">
        <v>71</v>
      </c>
      <c r="J6" s="326">
        <f>J4</f>
        <v>600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C8" s="31"/>
      <c r="D8" s="36">
        <f>D4+D6</f>
        <v>9500</v>
      </c>
    </row>
    <row r="9" spans="2:13">
      <c r="C9" s="31"/>
      <c r="D9" s="36"/>
    </row>
    <row r="10" spans="2:13">
      <c r="B10" s="1" t="s">
        <v>99</v>
      </c>
      <c r="C10" s="31"/>
      <c r="D10" s="1">
        <f>-MAN*H10</f>
        <v>-2000</v>
      </c>
      <c r="F10" s="44" t="s">
        <v>41</v>
      </c>
      <c r="G10" s="17"/>
      <c r="H10" s="298">
        <v>1</v>
      </c>
    </row>
    <row r="11" spans="2:13">
      <c r="B11" s="1" t="s">
        <v>100</v>
      </c>
      <c r="C11" s="31"/>
      <c r="D11" s="1">
        <f>-MKT*H11</f>
        <v>-1300</v>
      </c>
      <c r="F11" s="44" t="s">
        <v>65</v>
      </c>
      <c r="G11" s="17"/>
      <c r="H11" s="298">
        <v>1</v>
      </c>
    </row>
    <row r="12" spans="2:13">
      <c r="B12" s="31" t="s">
        <v>188</v>
      </c>
      <c r="C12" s="31"/>
      <c r="D12" s="112">
        <f>-ING*H12</f>
        <v>-1500</v>
      </c>
      <c r="F12" s="44" t="s">
        <v>118</v>
      </c>
      <c r="G12" s="17"/>
      <c r="H12" s="298">
        <v>1</v>
      </c>
    </row>
    <row r="13" spans="2:13">
      <c r="B13" s="31"/>
      <c r="C13" s="31"/>
      <c r="D13" s="36"/>
    </row>
    <row r="14" spans="2:13">
      <c r="B14" s="1" t="s">
        <v>160</v>
      </c>
      <c r="C14" s="31"/>
      <c r="D14" s="36">
        <f>D8+D11+D10+D12</f>
        <v>4700</v>
      </c>
      <c r="F14" s="14"/>
      <c r="G14" s="15"/>
      <c r="H14" s="15"/>
      <c r="I14" s="24" t="s">
        <v>103</v>
      </c>
      <c r="J14" s="15"/>
      <c r="K14" s="15"/>
      <c r="L14" s="17"/>
    </row>
    <row r="15" spans="2:13">
      <c r="B15" s="1" t="s">
        <v>161</v>
      </c>
      <c r="C15" s="31"/>
      <c r="D15" s="112">
        <v>0</v>
      </c>
      <c r="F15" s="5" t="s">
        <v>94</v>
      </c>
      <c r="H15" s="1">
        <f>'January-2'!L19</f>
        <v>200</v>
      </c>
      <c r="J15" s="1" t="s">
        <v>102</v>
      </c>
      <c r="L15" s="10">
        <f>F6+J6</f>
        <v>1250</v>
      </c>
      <c r="M15"/>
    </row>
    <row r="16" spans="2:13">
      <c r="F16" s="13" t="s">
        <v>97</v>
      </c>
      <c r="G16" s="11"/>
      <c r="H16" s="11">
        <v>1500</v>
      </c>
      <c r="I16" s="11"/>
      <c r="J16" s="11" t="s">
        <v>90</v>
      </c>
      <c r="K16" s="11"/>
      <c r="L16" s="8">
        <f>H17-L15</f>
        <v>450</v>
      </c>
    </row>
    <row r="17" spans="2:12">
      <c r="B17" s="1" t="s">
        <v>162</v>
      </c>
      <c r="D17" s="1">
        <f>D14+D15</f>
        <v>4700</v>
      </c>
      <c r="F17" s="14" t="s">
        <v>6</v>
      </c>
      <c r="G17" s="15"/>
      <c r="H17" s="15">
        <f>H15+H16</f>
        <v>1700</v>
      </c>
      <c r="I17" s="15"/>
      <c r="J17" s="16" t="s">
        <v>6</v>
      </c>
      <c r="K17" s="15"/>
      <c r="L17" s="17">
        <f>L15+L16</f>
        <v>1700</v>
      </c>
    </row>
    <row r="18" spans="2:12">
      <c r="F18" s="1"/>
    </row>
    <row r="19" spans="2:12">
      <c r="B19" s="1" t="s">
        <v>163</v>
      </c>
      <c r="D19" s="11">
        <f>-D17*C49</f>
        <v>-940</v>
      </c>
      <c r="F19" s="14"/>
      <c r="G19" s="15"/>
      <c r="H19" s="15"/>
      <c r="I19" s="24" t="s">
        <v>104</v>
      </c>
      <c r="J19" s="15"/>
      <c r="K19" s="15"/>
      <c r="L19" s="17"/>
    </row>
    <row r="20" spans="2:12">
      <c r="F20" s="5" t="s">
        <v>94</v>
      </c>
      <c r="H20" s="1">
        <f>H15*H6</f>
        <v>4000</v>
      </c>
      <c r="J20" s="1" t="s">
        <v>106</v>
      </c>
      <c r="L20" s="32">
        <f>L15*H6</f>
        <v>25000</v>
      </c>
    </row>
    <row r="21" spans="2:12">
      <c r="B21" s="1" t="s">
        <v>164</v>
      </c>
      <c r="D21" s="1">
        <f>D17+D19</f>
        <v>3760</v>
      </c>
      <c r="F21" s="13" t="s">
        <v>105</v>
      </c>
      <c r="G21" s="11"/>
      <c r="H21" s="34">
        <f>H16*H6</f>
        <v>30000</v>
      </c>
      <c r="I21" s="11"/>
      <c r="J21" s="11" t="s">
        <v>90</v>
      </c>
      <c r="K21" s="11"/>
      <c r="L21" s="8">
        <f>H22-L20</f>
        <v>9000</v>
      </c>
    </row>
    <row r="22" spans="2:12">
      <c r="F22" s="14" t="s">
        <v>6</v>
      </c>
      <c r="G22" s="15"/>
      <c r="H22" s="15">
        <f>H20+H21</f>
        <v>34000</v>
      </c>
      <c r="I22" s="15"/>
      <c r="J22" s="16" t="s">
        <v>6</v>
      </c>
      <c r="K22" s="15"/>
      <c r="L22" s="17">
        <f>L20+L21</f>
        <v>34000</v>
      </c>
    </row>
    <row r="24" spans="2:12" ht="19">
      <c r="B24" s="12" t="s">
        <v>72</v>
      </c>
      <c r="D24" s="1" t="s">
        <v>1</v>
      </c>
    </row>
    <row r="25" spans="2:12">
      <c r="F25" s="14"/>
      <c r="G25" s="15"/>
      <c r="H25" s="15"/>
      <c r="I25" s="24" t="s">
        <v>89</v>
      </c>
      <c r="J25" s="15"/>
      <c r="K25" s="15"/>
      <c r="L25" s="17"/>
    </row>
    <row r="26" spans="2:12">
      <c r="B26" s="1" t="s">
        <v>73</v>
      </c>
      <c r="D26" s="113">
        <f>L26</f>
        <v>32000</v>
      </c>
      <c r="F26" s="5" t="s">
        <v>94</v>
      </c>
      <c r="H26" s="1">
        <f>'January-2'!L29</f>
        <v>12500</v>
      </c>
      <c r="J26" s="1" t="s">
        <v>95</v>
      </c>
      <c r="L26" s="21">
        <f>H26+H27-L27</f>
        <v>32000</v>
      </c>
    </row>
    <row r="27" spans="2:12">
      <c r="B27" s="1" t="s">
        <v>1</v>
      </c>
      <c r="F27" s="13" t="s">
        <v>65</v>
      </c>
      <c r="G27" s="11"/>
      <c r="H27" s="11">
        <f>D4</f>
        <v>34500</v>
      </c>
      <c r="I27" s="11"/>
      <c r="J27" s="11" t="s">
        <v>90</v>
      </c>
      <c r="K27" s="11"/>
      <c r="L27" s="8">
        <f>J4*L4</f>
        <v>15000</v>
      </c>
    </row>
    <row r="28" spans="2:12">
      <c r="F28" s="14" t="s">
        <v>6</v>
      </c>
      <c r="G28" s="15"/>
      <c r="H28" s="15">
        <f>H26+H27</f>
        <v>47000</v>
      </c>
      <c r="I28" s="15"/>
      <c r="J28" s="16" t="s">
        <v>6</v>
      </c>
      <c r="K28" s="15"/>
      <c r="L28" s="17">
        <f>L26+L27</f>
        <v>47000</v>
      </c>
    </row>
    <row r="30" spans="2:12">
      <c r="B30" s="1" t="s">
        <v>74</v>
      </c>
      <c r="F30" s="14"/>
      <c r="G30" s="15"/>
      <c r="H30" s="15"/>
      <c r="I30" s="24" t="s">
        <v>86</v>
      </c>
      <c r="J30" s="15"/>
      <c r="K30" s="15"/>
      <c r="L30" s="17"/>
    </row>
    <row r="31" spans="2:12">
      <c r="C31" s="1" t="s">
        <v>98</v>
      </c>
      <c r="D31" s="114">
        <f>-L31</f>
        <v>-23000</v>
      </c>
      <c r="F31" s="5" t="s">
        <v>94</v>
      </c>
      <c r="H31" s="1">
        <f>'January-2'!L34</f>
        <v>8000</v>
      </c>
      <c r="J31" s="1" t="s">
        <v>96</v>
      </c>
      <c r="L31" s="23">
        <f>H31+H32-L32</f>
        <v>23000</v>
      </c>
    </row>
    <row r="32" spans="2:12">
      <c r="C32" s="1" t="s">
        <v>11</v>
      </c>
      <c r="D32" s="1">
        <f>D10</f>
        <v>-2000</v>
      </c>
      <c r="F32" s="13" t="s">
        <v>97</v>
      </c>
      <c r="G32" s="11"/>
      <c r="H32" s="34">
        <f>H21</f>
        <v>30000</v>
      </c>
      <c r="I32" s="11"/>
      <c r="J32" s="11" t="s">
        <v>90</v>
      </c>
      <c r="K32" s="11"/>
      <c r="L32" s="8">
        <f>J35*H32</f>
        <v>15000</v>
      </c>
    </row>
    <row r="33" spans="2:12">
      <c r="C33" s="1" t="s">
        <v>125</v>
      </c>
      <c r="D33" s="1">
        <f>+D11</f>
        <v>-1300</v>
      </c>
      <c r="F33" s="14" t="s">
        <v>6</v>
      </c>
      <c r="G33" s="15"/>
      <c r="H33" s="15">
        <f>H31+H32</f>
        <v>38000</v>
      </c>
      <c r="I33" s="15"/>
      <c r="J33" s="16" t="s">
        <v>6</v>
      </c>
      <c r="K33" s="15"/>
      <c r="L33" s="17">
        <f>L31+L32</f>
        <v>38000</v>
      </c>
    </row>
    <row r="34" spans="2:12">
      <c r="C34" s="1" t="s">
        <v>13</v>
      </c>
      <c r="D34" s="1">
        <f>D12</f>
        <v>-1500</v>
      </c>
      <c r="F34" s="1"/>
    </row>
    <row r="35" spans="2:12">
      <c r="C35" s="1" t="s">
        <v>158</v>
      </c>
      <c r="D35" s="1">
        <v>0</v>
      </c>
      <c r="I35" s="29" t="s">
        <v>92</v>
      </c>
      <c r="J35" s="40">
        <v>0.5</v>
      </c>
      <c r="K35" s="351" t="s">
        <v>93</v>
      </c>
    </row>
    <row r="36" spans="2:12">
      <c r="C36" s="1" t="s">
        <v>159</v>
      </c>
      <c r="D36" s="1">
        <v>0</v>
      </c>
    </row>
    <row r="38" spans="2:12">
      <c r="B38" s="1" t="s">
        <v>76</v>
      </c>
      <c r="D38" s="1">
        <f>SUM(D31:D36)</f>
        <v>-27800</v>
      </c>
      <c r="F38" s="1"/>
    </row>
    <row r="39" spans="2:12">
      <c r="F39"/>
      <c r="G39"/>
      <c r="H39"/>
      <c r="I39"/>
      <c r="J39"/>
      <c r="K39"/>
      <c r="L39"/>
    </row>
    <row r="40" spans="2:12">
      <c r="B40" s="26" t="s">
        <v>77</v>
      </c>
      <c r="C40" s="26"/>
      <c r="D40" s="26">
        <f>D26+D38</f>
        <v>4200</v>
      </c>
      <c r="F40"/>
      <c r="G40"/>
      <c r="H40"/>
      <c r="I40"/>
      <c r="J40"/>
      <c r="K40"/>
      <c r="L40"/>
    </row>
    <row r="41" spans="2:12">
      <c r="F41"/>
      <c r="G41"/>
      <c r="H41"/>
      <c r="I41"/>
      <c r="J41"/>
      <c r="K41"/>
      <c r="L41"/>
    </row>
    <row r="42" spans="2:12">
      <c r="B42" s="1" t="s">
        <v>78</v>
      </c>
      <c r="D42" s="1">
        <f>+'January-2'!C78</f>
        <v>10420</v>
      </c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4" spans="2:12">
      <c r="B44" s="1" t="s">
        <v>79</v>
      </c>
      <c r="D44" s="27">
        <f>D40+D42</f>
        <v>14620</v>
      </c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 ht="19">
      <c r="B47" s="12" t="s">
        <v>139</v>
      </c>
      <c r="D47" s="12" t="s">
        <v>129</v>
      </c>
      <c r="H47"/>
    </row>
    <row r="48" spans="2:12" ht="19">
      <c r="D48" s="12"/>
    </row>
    <row r="49" spans="2:12">
      <c r="B49" s="31" t="s">
        <v>165</v>
      </c>
      <c r="C49" s="128">
        <f>TIS</f>
        <v>0.2</v>
      </c>
      <c r="D49" s="1" t="s">
        <v>130</v>
      </c>
      <c r="F49" s="128">
        <v>0</v>
      </c>
    </row>
    <row r="50" spans="2:12">
      <c r="C50" s="2"/>
      <c r="F50" s="1"/>
    </row>
    <row r="51" spans="2:12">
      <c r="B51" s="1" t="s">
        <v>166</v>
      </c>
      <c r="C51" s="2">
        <f>D17</f>
        <v>4700</v>
      </c>
      <c r="D51" s="1" t="s">
        <v>167</v>
      </c>
      <c r="F51" s="2">
        <f>C55</f>
        <v>3760</v>
      </c>
    </row>
    <row r="52" spans="2:12">
      <c r="C52" s="2"/>
      <c r="F52" s="1"/>
    </row>
    <row r="53" spans="2:12">
      <c r="B53" s="1" t="s">
        <v>141</v>
      </c>
      <c r="C53" s="2">
        <f>-C51*C49</f>
        <v>-940</v>
      </c>
      <c r="D53" s="1" t="s">
        <v>131</v>
      </c>
      <c r="F53" s="302">
        <f>C55*F49</f>
        <v>0</v>
      </c>
      <c r="G53" s="2"/>
    </row>
    <row r="54" spans="2:12">
      <c r="C54" s="2"/>
      <c r="G54" s="2"/>
    </row>
    <row r="55" spans="2:12">
      <c r="B55" s="1" t="s">
        <v>167</v>
      </c>
      <c r="C55" s="2">
        <f>C51+C53</f>
        <v>3760</v>
      </c>
      <c r="D55" s="1" t="s">
        <v>185</v>
      </c>
      <c r="F55" s="303">
        <f>C55-F53</f>
        <v>3760</v>
      </c>
      <c r="G55" s="2"/>
    </row>
    <row r="56" spans="2:12">
      <c r="F56" s="1"/>
    </row>
    <row r="57" spans="2:12" s="2" customFormat="1">
      <c r="B57" s="1"/>
      <c r="C57" s="1"/>
      <c r="D57" s="1"/>
      <c r="E57" s="1"/>
      <c r="G57" s="1"/>
      <c r="H57" s="1" t="s">
        <v>1</v>
      </c>
      <c r="I57" s="1"/>
      <c r="J57" s="1"/>
      <c r="K57" s="1"/>
      <c r="L57" s="1"/>
    </row>
    <row r="58" spans="2:12" s="2" customFormat="1" ht="19">
      <c r="B58" s="12" t="s">
        <v>80</v>
      </c>
      <c r="C58" s="1"/>
      <c r="D58" s="12"/>
      <c r="E58" s="1"/>
      <c r="G58" s="1"/>
      <c r="H58" s="1"/>
      <c r="I58" s="1"/>
      <c r="J58" s="1"/>
      <c r="K58" s="1"/>
      <c r="L58" s="1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60</v>
      </c>
      <c r="C61" s="6"/>
      <c r="D61" s="5" t="s">
        <v>84</v>
      </c>
      <c r="E61" s="6"/>
      <c r="G61" s="1"/>
      <c r="H61" s="1"/>
      <c r="I61" s="1"/>
      <c r="J61" s="1"/>
      <c r="K61" s="1"/>
      <c r="L61" s="1"/>
    </row>
    <row r="62" spans="2:12" s="2" customFormat="1" ht="11" customHeight="1">
      <c r="B62" s="7"/>
      <c r="C62" s="8"/>
      <c r="D62" s="7"/>
      <c r="E62" s="8"/>
      <c r="F62" s="30"/>
      <c r="G62" s="1"/>
      <c r="I62" s="31"/>
      <c r="J62" s="1"/>
      <c r="K62" s="1"/>
      <c r="L62" s="1"/>
    </row>
    <row r="63" spans="2:12" s="2" customFormat="1">
      <c r="B63" s="3"/>
      <c r="C63" s="4"/>
      <c r="D63" s="3"/>
      <c r="E63" s="4"/>
      <c r="F63" s="115"/>
      <c r="G63" s="116" t="s">
        <v>90</v>
      </c>
      <c r="H63" s="116"/>
      <c r="I63" s="117"/>
      <c r="J63" s="1"/>
      <c r="K63" s="1"/>
      <c r="L63" s="1"/>
    </row>
    <row r="64" spans="2:12" s="2" customFormat="1">
      <c r="B64" s="9"/>
      <c r="C64" s="10"/>
      <c r="D64" s="9" t="s">
        <v>62</v>
      </c>
      <c r="E64" s="10">
        <f>NA*PAR</f>
        <v>10000</v>
      </c>
      <c r="F64" s="5"/>
      <c r="G64" s="31" t="s">
        <v>189</v>
      </c>
      <c r="I64" s="6" t="s">
        <v>190</v>
      </c>
      <c r="J64" s="1"/>
      <c r="K64" s="1"/>
      <c r="L64" s="1"/>
    </row>
    <row r="65" spans="2:12" s="2" customFormat="1">
      <c r="B65" s="9" t="s">
        <v>127</v>
      </c>
      <c r="C65" s="10">
        <f>L21</f>
        <v>9000</v>
      </c>
      <c r="D65" s="9" t="s">
        <v>85</v>
      </c>
      <c r="E65" s="43">
        <f>'January-2'!E73+F55</f>
        <v>12640</v>
      </c>
      <c r="F65" s="13" t="s">
        <v>23</v>
      </c>
      <c r="G65" s="11">
        <f>'January-2'!E73</f>
        <v>8880</v>
      </c>
      <c r="H65" s="11"/>
      <c r="I65" s="118">
        <f>F55</f>
        <v>3760</v>
      </c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128</v>
      </c>
      <c r="C67" s="10">
        <f>L27</f>
        <v>15000</v>
      </c>
      <c r="D67" s="9" t="s">
        <v>82</v>
      </c>
      <c r="E67" s="10">
        <f>E64+E65</f>
        <v>22640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135</v>
      </c>
      <c r="E69" s="41">
        <f>'January-2'!E77+'February-2'!D36</f>
        <v>0</v>
      </c>
      <c r="G69" s="1"/>
      <c r="H69" s="1"/>
      <c r="I69" s="1"/>
      <c r="J69" s="1"/>
      <c r="K69" s="1"/>
      <c r="L69" s="1"/>
    </row>
    <row r="70" spans="2:12" s="2" customFormat="1">
      <c r="B70" s="9" t="s">
        <v>63</v>
      </c>
      <c r="C70" s="28">
        <f>'February-2'!D44</f>
        <v>14620</v>
      </c>
      <c r="D70" s="9" t="s">
        <v>86</v>
      </c>
      <c r="E70" s="10">
        <f>L32</f>
        <v>15000</v>
      </c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145</v>
      </c>
      <c r="E71" s="10">
        <f>+'January-2'!E79-'February-2'!C53</f>
        <v>980</v>
      </c>
      <c r="G71" s="1"/>
      <c r="H71" s="1"/>
      <c r="I71" s="1"/>
      <c r="J71" s="1"/>
      <c r="K71" s="1"/>
      <c r="L71" s="1"/>
    </row>
    <row r="72" spans="2:12">
      <c r="B72" s="9"/>
      <c r="C72" s="10"/>
      <c r="D72" s="9"/>
      <c r="E72" s="10"/>
    </row>
    <row r="73" spans="2:12">
      <c r="B73" s="18" t="s">
        <v>88</v>
      </c>
      <c r="C73" s="19">
        <f>C67+C70+C65</f>
        <v>38620</v>
      </c>
      <c r="D73" s="18" t="s">
        <v>87</v>
      </c>
      <c r="E73" s="19">
        <f>E67+E70+E71+E69</f>
        <v>38620</v>
      </c>
    </row>
    <row r="74" spans="2:12">
      <c r="B74" s="7"/>
      <c r="C74" s="8"/>
      <c r="D74" s="7"/>
      <c r="E74" s="8"/>
    </row>
    <row r="77" spans="2:12" ht="19">
      <c r="B77" s="12" t="s">
        <v>182</v>
      </c>
    </row>
    <row r="79" spans="2:12">
      <c r="B79" s="1" t="s">
        <v>173</v>
      </c>
      <c r="D79" s="1">
        <f>'Financial analysis February-2'!H91</f>
        <v>9000</v>
      </c>
    </row>
    <row r="81" spans="2:4">
      <c r="B81" s="1" t="s">
        <v>183</v>
      </c>
      <c r="D81" s="1">
        <f>D79-'Financial analysis February-2'!G91</f>
        <v>500</v>
      </c>
    </row>
    <row r="83" spans="2:4">
      <c r="B83" s="1" t="s">
        <v>181</v>
      </c>
      <c r="D83" s="1">
        <f>D14</f>
        <v>4700</v>
      </c>
    </row>
    <row r="85" spans="2:4" ht="19">
      <c r="B85" s="87" t="s">
        <v>184</v>
      </c>
      <c r="C85" s="87"/>
      <c r="D85" s="87">
        <f>D83-D81</f>
        <v>4200</v>
      </c>
    </row>
    <row r="87" spans="2:4">
      <c r="B87" s="1" t="s">
        <v>176</v>
      </c>
      <c r="D87" s="1">
        <f>D35</f>
        <v>0</v>
      </c>
    </row>
    <row r="89" spans="2:4">
      <c r="B89" s="1" t="s">
        <v>177</v>
      </c>
      <c r="D89" s="1">
        <f>D36</f>
        <v>0</v>
      </c>
    </row>
    <row r="91" spans="2:4">
      <c r="B91" s="26" t="s">
        <v>178</v>
      </c>
      <c r="C91" s="26"/>
      <c r="D91" s="26">
        <f>D85+D87+D89</f>
        <v>4200</v>
      </c>
    </row>
  </sheetData>
  <pageMargins left="0.7" right="0.7" top="0.75" bottom="0.75" header="0.3" footer="0.3"/>
  <ignoredErrors>
    <ignoredError sqref="D33" formula="1"/>
    <ignoredError sqref="C65 C73 D79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AEB7-A41D-3144-AD82-BE85F9249505}">
  <dimension ref="B3:H92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8" width="10.83203125" style="89"/>
  </cols>
  <sheetData>
    <row r="3" spans="2:8" ht="19">
      <c r="B3" s="12"/>
    </row>
    <row r="4" spans="2:8">
      <c r="B4" s="50"/>
      <c r="C4" s="102"/>
      <c r="D4" s="102"/>
      <c r="E4" s="102"/>
      <c r="F4" s="102"/>
      <c r="G4" s="90"/>
      <c r="H4" s="90"/>
    </row>
    <row r="5" spans="2:8" s="46" customFormat="1" ht="19">
      <c r="B5" s="80" t="s">
        <v>107</v>
      </c>
      <c r="C5" s="103" t="s">
        <v>147</v>
      </c>
      <c r="D5" s="103" t="s">
        <v>148</v>
      </c>
      <c r="E5" s="103" t="s">
        <v>149</v>
      </c>
      <c r="F5" s="103" t="s">
        <v>150</v>
      </c>
      <c r="G5" s="70" t="s">
        <v>171</v>
      </c>
      <c r="H5" s="70" t="s">
        <v>190</v>
      </c>
    </row>
    <row r="6" spans="2:8">
      <c r="B6" s="53"/>
      <c r="C6" s="104"/>
      <c r="D6" s="104"/>
      <c r="E6" s="104"/>
      <c r="F6" s="104"/>
      <c r="G6" s="92"/>
      <c r="H6" s="92"/>
    </row>
    <row r="7" spans="2:8">
      <c r="B7" s="50"/>
      <c r="C7" s="102"/>
      <c r="D7" s="102"/>
      <c r="E7" s="102"/>
      <c r="F7" s="102"/>
      <c r="G7" s="90"/>
      <c r="H7" s="90"/>
    </row>
    <row r="8" spans="2:8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93">
        <f>'January-2'!D4</f>
        <v>27500</v>
      </c>
      <c r="H8" s="93">
        <f>'February-2'!D4</f>
        <v>34500</v>
      </c>
    </row>
    <row r="9" spans="2:8">
      <c r="B9" s="71"/>
      <c r="C9" s="100"/>
      <c r="D9" s="100"/>
      <c r="E9" s="100"/>
      <c r="F9" s="100"/>
      <c r="G9" s="91"/>
      <c r="H9" s="91"/>
    </row>
    <row r="10" spans="2:8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94">
        <f>'January-2'!D6</f>
        <v>-20000</v>
      </c>
      <c r="H10" s="94">
        <f>'February-2'!D6</f>
        <v>-25000</v>
      </c>
    </row>
    <row r="11" spans="2:8">
      <c r="B11" s="71"/>
      <c r="C11" s="100"/>
      <c r="D11" s="100"/>
      <c r="E11" s="100"/>
      <c r="F11" s="100"/>
      <c r="G11" s="91"/>
      <c r="H11" s="91"/>
    </row>
    <row r="12" spans="2:8">
      <c r="B12" s="71" t="s">
        <v>108</v>
      </c>
      <c r="C12" s="100">
        <f>C8+C10</f>
        <v>2000</v>
      </c>
      <c r="D12" s="100">
        <f t="shared" ref="D12:G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  <c r="H12" s="93">
        <f t="shared" ref="H12" si="1">H8+H10</f>
        <v>9500</v>
      </c>
    </row>
    <row r="13" spans="2:8">
      <c r="B13" s="71"/>
      <c r="C13" s="100"/>
      <c r="D13" s="100"/>
      <c r="E13" s="100"/>
      <c r="F13" s="100"/>
      <c r="G13" s="91"/>
      <c r="H13" s="91"/>
    </row>
    <row r="14" spans="2:8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93">
        <f>'January-2'!D10</f>
        <v>-2000</v>
      </c>
      <c r="H14" s="93">
        <f>'February-2'!D10</f>
        <v>-2000</v>
      </c>
    </row>
    <row r="15" spans="2:8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93">
        <f>'January-2'!D11</f>
        <v>-1300</v>
      </c>
      <c r="H15" s="93">
        <f>'February-2'!D11</f>
        <v>-1300</v>
      </c>
    </row>
    <row r="16" spans="2:8">
      <c r="B16" s="71" t="s">
        <v>188</v>
      </c>
      <c r="C16" s="99"/>
      <c r="D16" s="99"/>
      <c r="E16" s="99"/>
      <c r="F16" s="99"/>
      <c r="G16" s="94"/>
      <c r="H16" s="94">
        <f>'February-2'!D12</f>
        <v>-1500</v>
      </c>
    </row>
    <row r="17" spans="2:8">
      <c r="B17" s="71"/>
      <c r="C17" s="100"/>
      <c r="D17" s="100"/>
      <c r="E17" s="100"/>
      <c r="F17" s="100"/>
      <c r="G17" s="91"/>
      <c r="H17" s="91"/>
    </row>
    <row r="18" spans="2:8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93">
        <f t="shared" si="2"/>
        <v>4200</v>
      </c>
      <c r="H18" s="93">
        <f>H12+H14+H15+H16</f>
        <v>4700</v>
      </c>
    </row>
    <row r="19" spans="2:8">
      <c r="B19" s="71" t="s">
        <v>161</v>
      </c>
      <c r="C19" s="99"/>
      <c r="D19" s="99"/>
      <c r="E19" s="99"/>
      <c r="F19" s="99"/>
      <c r="G19" s="94">
        <f>'January-2'!D14</f>
        <v>-4000</v>
      </c>
      <c r="H19" s="94"/>
    </row>
    <row r="20" spans="2:8">
      <c r="B20" s="71"/>
      <c r="C20" s="100"/>
      <c r="D20" s="100"/>
      <c r="E20" s="100"/>
      <c r="F20" s="100"/>
      <c r="G20" s="93"/>
      <c r="H20" s="93"/>
    </row>
    <row r="21" spans="2:8">
      <c r="B21" s="71" t="s">
        <v>186</v>
      </c>
      <c r="C21" s="100">
        <f>C18+C19</f>
        <v>1000</v>
      </c>
      <c r="D21" s="100">
        <f t="shared" ref="D21:G21" si="3">D18+D19</f>
        <v>2000</v>
      </c>
      <c r="E21" s="100">
        <f t="shared" si="3"/>
        <v>3700</v>
      </c>
      <c r="F21" s="100">
        <f t="shared" si="3"/>
        <v>6700</v>
      </c>
      <c r="G21" s="71">
        <f t="shared" si="3"/>
        <v>200</v>
      </c>
      <c r="H21" s="71">
        <f t="shared" ref="H21" si="4">H18+H19</f>
        <v>4700</v>
      </c>
    </row>
    <row r="22" spans="2:8">
      <c r="B22" s="71"/>
      <c r="C22" s="100"/>
      <c r="D22" s="100"/>
      <c r="E22" s="100"/>
      <c r="F22" s="100"/>
      <c r="G22" s="91"/>
      <c r="H22" s="91"/>
    </row>
    <row r="23" spans="2:8">
      <c r="B23" s="71" t="s">
        <v>141</v>
      </c>
      <c r="C23" s="99">
        <f t="shared" ref="C23:H23" si="5">-C21*TIS</f>
        <v>-200</v>
      </c>
      <c r="D23" s="99">
        <f t="shared" si="5"/>
        <v>-400</v>
      </c>
      <c r="E23" s="99">
        <f t="shared" si="5"/>
        <v>-740</v>
      </c>
      <c r="F23" s="99">
        <f t="shared" si="5"/>
        <v>-1340</v>
      </c>
      <c r="G23" s="72">
        <f t="shared" si="5"/>
        <v>-40</v>
      </c>
      <c r="H23" s="72">
        <f t="shared" si="5"/>
        <v>-940</v>
      </c>
    </row>
    <row r="24" spans="2:8">
      <c r="B24" s="71"/>
      <c r="C24" s="100"/>
      <c r="D24" s="100"/>
      <c r="E24" s="100"/>
      <c r="F24" s="100"/>
      <c r="G24" s="91"/>
      <c r="H24" s="91"/>
    </row>
    <row r="25" spans="2:8">
      <c r="B25" s="71" t="s">
        <v>142</v>
      </c>
      <c r="C25" s="100">
        <f>C21+C23</f>
        <v>800</v>
      </c>
      <c r="D25" s="100">
        <f t="shared" ref="D25:G25" si="6">D21+D23</f>
        <v>1600</v>
      </c>
      <c r="E25" s="100">
        <f t="shared" si="6"/>
        <v>2960</v>
      </c>
      <c r="F25" s="100">
        <f t="shared" si="6"/>
        <v>5360</v>
      </c>
      <c r="G25" s="71">
        <f t="shared" si="6"/>
        <v>160</v>
      </c>
      <c r="H25" s="71">
        <f t="shared" ref="H25" si="7">H21+H23</f>
        <v>3760</v>
      </c>
    </row>
    <row r="26" spans="2:8">
      <c r="B26" s="53"/>
      <c r="C26" s="104"/>
      <c r="D26" s="104"/>
      <c r="E26" s="104"/>
      <c r="F26" s="104"/>
      <c r="G26" s="92"/>
      <c r="H26" s="92"/>
    </row>
    <row r="42" spans="2:8">
      <c r="B42" s="50"/>
      <c r="C42" s="102"/>
      <c r="D42" s="102"/>
      <c r="E42" s="102"/>
      <c r="F42" s="102"/>
      <c r="G42" s="90"/>
      <c r="H42" s="90"/>
    </row>
    <row r="43" spans="2:8" ht="19">
      <c r="B43" s="80" t="s">
        <v>21</v>
      </c>
      <c r="C43" s="103" t="s">
        <v>147</v>
      </c>
      <c r="D43" s="103" t="s">
        <v>148</v>
      </c>
      <c r="E43" s="103" t="s">
        <v>149</v>
      </c>
      <c r="F43" s="103" t="s">
        <v>150</v>
      </c>
      <c r="G43" s="70" t="s">
        <v>171</v>
      </c>
      <c r="H43" s="70" t="str">
        <f>H5</f>
        <v>February</v>
      </c>
    </row>
    <row r="44" spans="2:8">
      <c r="B44" s="53"/>
      <c r="C44" s="104"/>
      <c r="D44" s="104"/>
      <c r="E44" s="104"/>
      <c r="F44" s="104"/>
      <c r="G44" s="92"/>
      <c r="H44" s="92"/>
    </row>
    <row r="45" spans="2:8">
      <c r="B45" s="50"/>
      <c r="C45" s="102"/>
      <c r="D45" s="102"/>
      <c r="E45" s="102"/>
      <c r="F45" s="102"/>
      <c r="G45" s="90"/>
      <c r="H45" s="90"/>
    </row>
    <row r="46" spans="2:8">
      <c r="B46" s="71" t="s">
        <v>65</v>
      </c>
      <c r="C46" s="105">
        <f t="shared" ref="C46:H46" si="8">C8/C$8</f>
        <v>1</v>
      </c>
      <c r="D46" s="105">
        <f t="shared" si="8"/>
        <v>1</v>
      </c>
      <c r="E46" s="105">
        <f t="shared" si="8"/>
        <v>1</v>
      </c>
      <c r="F46" s="105">
        <f t="shared" si="8"/>
        <v>1</v>
      </c>
      <c r="G46" s="95">
        <f t="shared" si="8"/>
        <v>1</v>
      </c>
      <c r="H46" s="95">
        <f t="shared" si="8"/>
        <v>1</v>
      </c>
    </row>
    <row r="47" spans="2:8">
      <c r="B47" s="71"/>
      <c r="C47" s="100"/>
      <c r="D47" s="100"/>
      <c r="E47" s="100"/>
      <c r="F47" s="100"/>
      <c r="G47" s="93"/>
      <c r="H47" s="93"/>
    </row>
    <row r="48" spans="2:8">
      <c r="B48" s="71" t="s">
        <v>187</v>
      </c>
      <c r="C48" s="106">
        <f t="shared" ref="C48:H48" si="9">C10/C$8</f>
        <v>-0.66666666666666663</v>
      </c>
      <c r="D48" s="106">
        <f t="shared" si="9"/>
        <v>-0.72727272727272729</v>
      </c>
      <c r="E48" s="106">
        <f t="shared" si="9"/>
        <v>-0.7407407407407407</v>
      </c>
      <c r="F48" s="106">
        <f t="shared" si="9"/>
        <v>-0.72222222222222221</v>
      </c>
      <c r="G48" s="96">
        <f t="shared" si="9"/>
        <v>-0.72727272727272729</v>
      </c>
      <c r="H48" s="96">
        <f t="shared" si="9"/>
        <v>-0.72463768115942029</v>
      </c>
    </row>
    <row r="49" spans="2:8">
      <c r="B49" s="71"/>
      <c r="C49" s="100"/>
      <c r="D49" s="100"/>
      <c r="E49" s="100"/>
      <c r="F49" s="100"/>
      <c r="G49" s="93"/>
      <c r="H49" s="93"/>
    </row>
    <row r="50" spans="2:8">
      <c r="B50" s="71" t="s">
        <v>108</v>
      </c>
      <c r="C50" s="105">
        <f t="shared" ref="C50:H50" si="10">C12/C$8</f>
        <v>0.33333333333333331</v>
      </c>
      <c r="D50" s="105">
        <f t="shared" si="10"/>
        <v>0.27272727272727271</v>
      </c>
      <c r="E50" s="105">
        <f t="shared" si="10"/>
        <v>0.25925925925925924</v>
      </c>
      <c r="F50" s="105">
        <f t="shared" si="10"/>
        <v>0.27777777777777779</v>
      </c>
      <c r="G50" s="95">
        <f t="shared" si="10"/>
        <v>0.27272727272727271</v>
      </c>
      <c r="H50" s="95">
        <f t="shared" si="10"/>
        <v>0.27536231884057971</v>
      </c>
    </row>
    <row r="51" spans="2:8">
      <c r="B51" s="71"/>
      <c r="C51" s="100"/>
      <c r="D51" s="100"/>
      <c r="E51" s="100"/>
      <c r="F51" s="100"/>
      <c r="G51" s="93"/>
      <c r="H51" s="93"/>
    </row>
    <row r="52" spans="2:8">
      <c r="B52" s="71" t="s">
        <v>99</v>
      </c>
      <c r="C52" s="105">
        <f t="shared" ref="C52:H52" si="11">C14/C$8</f>
        <v>-0.16666666666666666</v>
      </c>
      <c r="D52" s="105">
        <f t="shared" si="11"/>
        <v>-9.0909090909090912E-2</v>
      </c>
      <c r="E52" s="105">
        <f t="shared" si="11"/>
        <v>-7.407407407407407E-2</v>
      </c>
      <c r="F52" s="105">
        <f t="shared" si="11"/>
        <v>-5.5555555555555552E-2</v>
      </c>
      <c r="G52" s="95">
        <f t="shared" si="11"/>
        <v>-7.2727272727272724E-2</v>
      </c>
      <c r="H52" s="95">
        <f t="shared" si="11"/>
        <v>-5.7971014492753624E-2</v>
      </c>
    </row>
    <row r="53" spans="2:8">
      <c r="B53" s="71" t="s">
        <v>100</v>
      </c>
      <c r="C53" s="100"/>
      <c r="D53" s="100"/>
      <c r="E53" s="105">
        <f>E15/E$8</f>
        <v>-4.8148148148148148E-2</v>
      </c>
      <c r="F53" s="105">
        <f>F15/F$8</f>
        <v>-3.6111111111111108E-2</v>
      </c>
      <c r="G53" s="95">
        <f>G15/G$8</f>
        <v>-4.7272727272727272E-2</v>
      </c>
      <c r="H53" s="95">
        <f>H15/H$8</f>
        <v>-3.7681159420289857E-2</v>
      </c>
    </row>
    <row r="54" spans="2:8">
      <c r="B54" s="71" t="s">
        <v>188</v>
      </c>
      <c r="C54" s="99"/>
      <c r="D54" s="99"/>
      <c r="E54" s="99"/>
      <c r="F54" s="99"/>
      <c r="G54" s="94"/>
      <c r="H54" s="96">
        <f>H16/H$8</f>
        <v>-4.3478260869565216E-2</v>
      </c>
    </row>
    <row r="55" spans="2:8">
      <c r="B55" s="71"/>
      <c r="C55" s="100"/>
      <c r="D55" s="100"/>
      <c r="E55" s="100"/>
      <c r="F55" s="100"/>
      <c r="G55" s="93"/>
      <c r="H55" s="93"/>
    </row>
    <row r="56" spans="2:8">
      <c r="B56" s="71" t="s">
        <v>181</v>
      </c>
      <c r="C56" s="105">
        <f t="shared" ref="C56:H56" si="12">C18/C$8</f>
        <v>0.16666666666666666</v>
      </c>
      <c r="D56" s="105">
        <f t="shared" si="12"/>
        <v>0.18181818181818182</v>
      </c>
      <c r="E56" s="105">
        <f t="shared" si="12"/>
        <v>0.13703703703703704</v>
      </c>
      <c r="F56" s="105">
        <f t="shared" si="12"/>
        <v>0.18611111111111112</v>
      </c>
      <c r="G56" s="95">
        <f t="shared" si="12"/>
        <v>0.15272727272727274</v>
      </c>
      <c r="H56" s="95">
        <f t="shared" si="12"/>
        <v>0.13623188405797101</v>
      </c>
    </row>
    <row r="57" spans="2:8">
      <c r="B57" s="71" t="s">
        <v>161</v>
      </c>
      <c r="C57" s="106"/>
      <c r="D57" s="106"/>
      <c r="E57" s="106"/>
      <c r="F57" s="106"/>
      <c r="G57" s="96">
        <f>G19/G$8</f>
        <v>-0.14545454545454545</v>
      </c>
      <c r="H57" s="96"/>
    </row>
    <row r="58" spans="2:8">
      <c r="B58" s="71"/>
      <c r="C58" s="105"/>
      <c r="D58" s="105"/>
      <c r="E58" s="105"/>
      <c r="F58" s="105"/>
      <c r="G58" s="95"/>
      <c r="H58" s="95"/>
    </row>
    <row r="59" spans="2:8">
      <c r="B59" s="71" t="s">
        <v>186</v>
      </c>
      <c r="C59" s="105">
        <f>C56+C57</f>
        <v>0.16666666666666666</v>
      </c>
      <c r="D59" s="105">
        <f t="shared" ref="D59:H59" si="13">D56+D57</f>
        <v>0.18181818181818182</v>
      </c>
      <c r="E59" s="105">
        <f t="shared" si="13"/>
        <v>0.13703703703703704</v>
      </c>
      <c r="F59" s="105">
        <f t="shared" si="13"/>
        <v>0.18611111111111112</v>
      </c>
      <c r="G59" s="107">
        <f t="shared" si="13"/>
        <v>7.2727272727272918E-3</v>
      </c>
      <c r="H59" s="107">
        <f t="shared" si="13"/>
        <v>0.13623188405797101</v>
      </c>
    </row>
    <row r="60" spans="2:8">
      <c r="B60" s="71"/>
      <c r="C60" s="100"/>
      <c r="D60" s="100"/>
      <c r="E60" s="100"/>
      <c r="F60" s="100"/>
      <c r="G60" s="93"/>
      <c r="H60" s="93"/>
    </row>
    <row r="61" spans="2:8">
      <c r="B61" s="71" t="s">
        <v>141</v>
      </c>
      <c r="C61" s="106">
        <f t="shared" ref="C61:H61" si="14">C23/C$8</f>
        <v>-3.3333333333333333E-2</v>
      </c>
      <c r="D61" s="106">
        <f t="shared" si="14"/>
        <v>-3.6363636363636362E-2</v>
      </c>
      <c r="E61" s="106">
        <f t="shared" si="14"/>
        <v>-2.7407407407407408E-2</v>
      </c>
      <c r="F61" s="106">
        <f t="shared" si="14"/>
        <v>-3.7222222222222219E-2</v>
      </c>
      <c r="G61" s="96">
        <f t="shared" si="14"/>
        <v>-1.4545454545454545E-3</v>
      </c>
      <c r="H61" s="96">
        <f t="shared" si="14"/>
        <v>-2.7246376811594204E-2</v>
      </c>
    </row>
    <row r="62" spans="2:8">
      <c r="B62" s="71"/>
      <c r="C62" s="100"/>
      <c r="D62" s="100"/>
      <c r="E62" s="100"/>
      <c r="F62" s="100"/>
      <c r="G62" s="93"/>
      <c r="H62" s="93"/>
    </row>
    <row r="63" spans="2:8">
      <c r="B63" s="71" t="s">
        <v>142</v>
      </c>
      <c r="C63" s="105">
        <f t="shared" ref="C63:H63" si="15">C25/C$8</f>
        <v>0.13333333333333333</v>
      </c>
      <c r="D63" s="105">
        <f t="shared" si="15"/>
        <v>0.14545454545454545</v>
      </c>
      <c r="E63" s="105">
        <f t="shared" si="15"/>
        <v>0.10962962962962963</v>
      </c>
      <c r="F63" s="105">
        <f t="shared" si="15"/>
        <v>0.14888888888888888</v>
      </c>
      <c r="G63" s="95">
        <f t="shared" si="15"/>
        <v>5.8181818181818178E-3</v>
      </c>
      <c r="H63" s="95">
        <f t="shared" si="15"/>
        <v>0.10898550724637682</v>
      </c>
    </row>
    <row r="64" spans="2:8">
      <c r="B64" s="53"/>
      <c r="C64" s="104"/>
      <c r="D64" s="104"/>
      <c r="E64" s="104"/>
      <c r="F64" s="104"/>
      <c r="G64" s="92"/>
      <c r="H64" s="92"/>
    </row>
    <row r="80" spans="2:8" s="75" customFormat="1">
      <c r="B80" s="86"/>
      <c r="C80" s="97"/>
      <c r="D80" s="97"/>
      <c r="E80" s="97"/>
      <c r="F80" s="97"/>
      <c r="G80" s="86"/>
      <c r="H80" s="86"/>
    </row>
    <row r="81" spans="2:8" s="75" customFormat="1" ht="19">
      <c r="B81" s="80" t="s">
        <v>152</v>
      </c>
      <c r="C81" s="103" t="s">
        <v>147</v>
      </c>
      <c r="D81" s="103" t="s">
        <v>148</v>
      </c>
      <c r="E81" s="103" t="s">
        <v>149</v>
      </c>
      <c r="F81" s="103" t="s">
        <v>150</v>
      </c>
      <c r="G81" s="70" t="s">
        <v>171</v>
      </c>
      <c r="H81" s="83" t="str">
        <f>H5</f>
        <v>February</v>
      </c>
    </row>
    <row r="82" spans="2:8" s="75" customFormat="1">
      <c r="B82" s="72"/>
      <c r="C82" s="99"/>
      <c r="D82" s="99"/>
      <c r="E82" s="99"/>
      <c r="F82" s="99"/>
      <c r="G82" s="72"/>
      <c r="H82" s="72"/>
    </row>
    <row r="83" spans="2:8" s="75" customFormat="1">
      <c r="B83" s="86"/>
      <c r="C83" s="97"/>
      <c r="D83" s="97"/>
      <c r="E83" s="97"/>
      <c r="F83" s="97"/>
      <c r="G83" s="86"/>
      <c r="H83" s="86"/>
    </row>
    <row r="84" spans="2:8" s="75" customFormat="1">
      <c r="B84" s="71" t="s">
        <v>127</v>
      </c>
      <c r="C84" s="100">
        <v>0</v>
      </c>
      <c r="D84" s="100">
        <v>0</v>
      </c>
      <c r="E84" s="100">
        <f>'November-1'!C52</f>
        <v>10000</v>
      </c>
      <c r="F84" s="100">
        <f>'December-1'!C65</f>
        <v>12000</v>
      </c>
      <c r="G84" s="71">
        <f>'January-2'!C73</f>
        <v>4000</v>
      </c>
      <c r="H84" s="71">
        <f>'February-2'!C65</f>
        <v>9000</v>
      </c>
    </row>
    <row r="85" spans="2:8" s="75" customFormat="1">
      <c r="B85" s="71"/>
      <c r="C85" s="100"/>
      <c r="D85" s="100"/>
      <c r="E85" s="100"/>
      <c r="F85" s="100"/>
      <c r="G85" s="71"/>
      <c r="H85" s="71"/>
    </row>
    <row r="86" spans="2:8" s="75" customFormat="1">
      <c r="B86" s="71" t="s">
        <v>153</v>
      </c>
      <c r="C86" s="100">
        <v>0</v>
      </c>
      <c r="D86" s="100">
        <f>'October-1'!C43</f>
        <v>5000</v>
      </c>
      <c r="E86" s="100">
        <f>'November-1'!C54</f>
        <v>15000</v>
      </c>
      <c r="F86" s="100">
        <f>'December-1'!C67</f>
        <v>15000</v>
      </c>
      <c r="G86" s="71">
        <f>'January-2'!C75</f>
        <v>12500</v>
      </c>
      <c r="H86" s="71">
        <f>'February-2'!C67</f>
        <v>15000</v>
      </c>
    </row>
    <row r="87" spans="2:8" s="75" customFormat="1">
      <c r="B87" s="71"/>
      <c r="C87" s="100"/>
      <c r="D87" s="100"/>
      <c r="E87" s="100"/>
      <c r="F87" s="100"/>
      <c r="G87" s="71"/>
      <c r="H87" s="71"/>
    </row>
    <row r="88" spans="2:8" s="75" customFormat="1">
      <c r="B88" s="71" t="s">
        <v>154</v>
      </c>
      <c r="C88" s="100">
        <v>0</v>
      </c>
      <c r="D88" s="100">
        <f>-'October-1'!E45</f>
        <v>-4000</v>
      </c>
      <c r="E88" s="100">
        <f>-'November-1'!E56</f>
        <v>-15000</v>
      </c>
      <c r="F88" s="100">
        <f>-'December-1'!E70</f>
        <v>-14000</v>
      </c>
      <c r="G88" s="71">
        <f>-'January-2'!E78</f>
        <v>-8000</v>
      </c>
      <c r="H88" s="71">
        <f>-'February-2'!E70</f>
        <v>-15000</v>
      </c>
    </row>
    <row r="89" spans="2:8" s="75" customFormat="1">
      <c r="B89" s="71"/>
      <c r="C89" s="99"/>
      <c r="D89" s="99"/>
      <c r="E89" s="99"/>
      <c r="F89" s="99"/>
      <c r="G89" s="72"/>
      <c r="H89" s="72"/>
    </row>
    <row r="90" spans="2:8" s="75" customFormat="1">
      <c r="B90" s="71"/>
      <c r="C90" s="100"/>
      <c r="D90" s="100"/>
      <c r="E90" s="100"/>
      <c r="F90" s="100"/>
      <c r="G90" s="71"/>
      <c r="H90" s="71"/>
    </row>
    <row r="91" spans="2:8" s="75" customFormat="1">
      <c r="B91" s="74" t="s">
        <v>155</v>
      </c>
      <c r="C91" s="101">
        <f>C84+C86+C88</f>
        <v>0</v>
      </c>
      <c r="D91" s="101">
        <f t="shared" ref="D91:G91" si="16">D84+D86+D88</f>
        <v>1000</v>
      </c>
      <c r="E91" s="101">
        <f t="shared" si="16"/>
        <v>10000</v>
      </c>
      <c r="F91" s="101">
        <f t="shared" si="16"/>
        <v>13000</v>
      </c>
      <c r="G91" s="74">
        <f t="shared" si="16"/>
        <v>8500</v>
      </c>
      <c r="H91" s="74">
        <f t="shared" ref="H91" si="17">H84+H86+H88</f>
        <v>9000</v>
      </c>
    </row>
    <row r="92" spans="2:8" s="75" customFormat="1">
      <c r="B92" s="72"/>
      <c r="C92" s="99"/>
      <c r="D92" s="99"/>
      <c r="E92" s="99"/>
      <c r="F92" s="99"/>
      <c r="G92" s="72"/>
      <c r="H92" s="7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DDB8-AB82-0D46-9B4E-B495DB687B38}">
  <dimension ref="B2:M91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83203125" style="1" customWidth="1"/>
    <col min="3" max="3" width="11.5" style="1" customWidth="1"/>
    <col min="4" max="4" width="24.33203125" style="1" customWidth="1"/>
    <col min="5" max="5" width="6.83203125" style="1" customWidth="1"/>
    <col min="6" max="6" width="10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C4" s="2"/>
      <c r="D4" s="36">
        <f>F4*H4+J4*L4</f>
        <v>0</v>
      </c>
      <c r="F4" s="9"/>
      <c r="G4" s="2" t="s">
        <v>70</v>
      </c>
      <c r="H4" s="1">
        <f>PVB2C</f>
        <v>30</v>
      </c>
      <c r="I4" s="10" t="s">
        <v>71</v>
      </c>
      <c r="J4" s="9"/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111"/>
      <c r="F6" s="7">
        <f>F4</f>
        <v>0</v>
      </c>
      <c r="G6" s="25" t="s">
        <v>70</v>
      </c>
      <c r="H6" s="11">
        <f>PAP</f>
        <v>20</v>
      </c>
      <c r="I6" s="8" t="s">
        <v>71</v>
      </c>
      <c r="J6" s="7">
        <f>J4</f>
        <v>0</v>
      </c>
      <c r="K6" s="25" t="s">
        <v>70</v>
      </c>
      <c r="L6" s="11">
        <f>PAP</f>
        <v>20</v>
      </c>
      <c r="M6" s="8" t="s">
        <v>71</v>
      </c>
    </row>
    <row r="8" spans="2:13">
      <c r="B8" s="1" t="s">
        <v>67</v>
      </c>
      <c r="D8" s="1">
        <f>D4+D6</f>
        <v>0</v>
      </c>
    </row>
    <row r="10" spans="2:13">
      <c r="B10" s="1" t="s">
        <v>99</v>
      </c>
      <c r="D10" s="1">
        <f>-MAN*H10-ADOP*K10</f>
        <v>0</v>
      </c>
      <c r="F10" s="44" t="s">
        <v>41</v>
      </c>
      <c r="G10" s="17"/>
      <c r="H10" s="298"/>
      <c r="I10" s="44" t="s">
        <v>35</v>
      </c>
      <c r="J10" s="17"/>
      <c r="K10" s="298"/>
    </row>
    <row r="11" spans="2:13">
      <c r="B11" s="1" t="s">
        <v>100</v>
      </c>
      <c r="D11" s="1">
        <f>-MKT*H11</f>
        <v>0</v>
      </c>
      <c r="F11" s="44" t="s">
        <v>65</v>
      </c>
      <c r="G11" s="17"/>
      <c r="H11" s="298"/>
    </row>
    <row r="12" spans="2:13">
      <c r="B12" s="31" t="s">
        <v>188</v>
      </c>
      <c r="D12" s="112">
        <f>-ING*H12</f>
        <v>0</v>
      </c>
      <c r="F12" s="44" t="s">
        <v>118</v>
      </c>
      <c r="G12" s="17"/>
      <c r="H12" s="298"/>
    </row>
    <row r="13" spans="2:13">
      <c r="B13" s="31"/>
    </row>
    <row r="14" spans="2:13">
      <c r="B14" s="1" t="s">
        <v>160</v>
      </c>
      <c r="D14" s="1">
        <f>D8+D11+D10+D12</f>
        <v>0</v>
      </c>
      <c r="F14" s="1"/>
    </row>
    <row r="15" spans="2:13">
      <c r="B15" s="1" t="s">
        <v>161</v>
      </c>
      <c r="D15" s="11">
        <v>0</v>
      </c>
      <c r="F15" s="14"/>
      <c r="G15" s="15"/>
      <c r="H15" s="15"/>
      <c r="I15" s="24" t="s">
        <v>103</v>
      </c>
      <c r="J15" s="15"/>
      <c r="K15" s="15"/>
      <c r="L15" s="17"/>
      <c r="M15"/>
    </row>
    <row r="16" spans="2:13">
      <c r="F16" s="5" t="s">
        <v>94</v>
      </c>
      <c r="J16" s="1" t="s">
        <v>102</v>
      </c>
      <c r="L16" s="10"/>
    </row>
    <row r="17" spans="2:12">
      <c r="B17" s="1" t="s">
        <v>162</v>
      </c>
      <c r="D17" s="1">
        <f>D14+D15</f>
        <v>0</v>
      </c>
      <c r="F17" s="13" t="s">
        <v>97</v>
      </c>
      <c r="G17" s="11"/>
      <c r="H17" s="11"/>
      <c r="I17" s="11"/>
      <c r="J17" s="11" t="s">
        <v>90</v>
      </c>
      <c r="K17" s="11"/>
      <c r="L17" s="8">
        <f>H18-L16</f>
        <v>0</v>
      </c>
    </row>
    <row r="18" spans="2:12">
      <c r="F18" s="14" t="s">
        <v>6</v>
      </c>
      <c r="G18" s="15"/>
      <c r="H18" s="15">
        <f>H16+H17</f>
        <v>0</v>
      </c>
      <c r="I18" s="15"/>
      <c r="J18" s="16" t="s">
        <v>6</v>
      </c>
      <c r="K18" s="15"/>
      <c r="L18" s="17">
        <f>L16+L17</f>
        <v>0</v>
      </c>
    </row>
    <row r="19" spans="2:12">
      <c r="B19" s="1" t="s">
        <v>163</v>
      </c>
      <c r="D19" s="11">
        <f>C53</f>
        <v>0</v>
      </c>
      <c r="F19" s="1"/>
    </row>
    <row r="20" spans="2:12">
      <c r="F20" s="14"/>
      <c r="G20" s="15"/>
      <c r="H20" s="15"/>
      <c r="I20" s="24" t="s">
        <v>104</v>
      </c>
      <c r="J20" s="15"/>
      <c r="K20" s="15"/>
      <c r="L20" s="17"/>
    </row>
    <row r="21" spans="2:12">
      <c r="B21" s="1" t="s">
        <v>164</v>
      </c>
      <c r="D21" s="1">
        <f>D17+D19</f>
        <v>0</v>
      </c>
      <c r="F21" s="5" t="s">
        <v>94</v>
      </c>
      <c r="H21" s="1">
        <f>H16*H6</f>
        <v>0</v>
      </c>
      <c r="J21" s="1" t="s">
        <v>106</v>
      </c>
      <c r="L21" s="32">
        <f>L16*H6</f>
        <v>0</v>
      </c>
    </row>
    <row r="22" spans="2:12">
      <c r="F22" s="13" t="s">
        <v>105</v>
      </c>
      <c r="G22" s="11"/>
      <c r="H22" s="34">
        <f>H17*H6</f>
        <v>0</v>
      </c>
      <c r="I22" s="11"/>
      <c r="J22" s="11" t="s">
        <v>90</v>
      </c>
      <c r="K22" s="11"/>
      <c r="L22" s="8">
        <f>H23-L21</f>
        <v>0</v>
      </c>
    </row>
    <row r="23" spans="2:12">
      <c r="F23" s="14" t="s">
        <v>6</v>
      </c>
      <c r="G23" s="15"/>
      <c r="H23" s="15">
        <f>H21+H22</f>
        <v>0</v>
      </c>
      <c r="I23" s="15"/>
      <c r="J23" s="16" t="s">
        <v>6</v>
      </c>
      <c r="K23" s="15"/>
      <c r="L23" s="17">
        <f>L21+L22</f>
        <v>0</v>
      </c>
    </row>
    <row r="24" spans="2:12" ht="19">
      <c r="B24" s="12" t="s">
        <v>72</v>
      </c>
    </row>
    <row r="25" spans="2:12">
      <c r="F25" s="14"/>
      <c r="G25" s="15"/>
      <c r="H25" s="15"/>
      <c r="I25" s="24" t="s">
        <v>89</v>
      </c>
      <c r="J25" s="15"/>
      <c r="K25" s="15"/>
      <c r="L25" s="17"/>
    </row>
    <row r="26" spans="2:12">
      <c r="B26" s="1" t="s">
        <v>73</v>
      </c>
      <c r="D26" s="113"/>
      <c r="F26" s="5" t="s">
        <v>94</v>
      </c>
      <c r="J26" s="1" t="s">
        <v>95</v>
      </c>
      <c r="L26" s="21">
        <f>H26+H27-L27</f>
        <v>0</v>
      </c>
    </row>
    <row r="27" spans="2:12">
      <c r="B27" s="1" t="s">
        <v>1</v>
      </c>
      <c r="F27" s="13" t="s">
        <v>65</v>
      </c>
      <c r="G27" s="11"/>
      <c r="H27" s="11"/>
      <c r="I27" s="11"/>
      <c r="J27" s="11" t="s">
        <v>90</v>
      </c>
      <c r="K27" s="11"/>
      <c r="L27" s="8"/>
    </row>
    <row r="28" spans="2:12">
      <c r="F28" s="14" t="s">
        <v>6</v>
      </c>
      <c r="G28" s="15"/>
      <c r="H28" s="15">
        <f>H26+H27</f>
        <v>0</v>
      </c>
      <c r="I28" s="15"/>
      <c r="J28" s="16" t="s">
        <v>6</v>
      </c>
      <c r="K28" s="15"/>
      <c r="L28" s="17">
        <f>L26+L27</f>
        <v>0</v>
      </c>
    </row>
    <row r="30" spans="2:12">
      <c r="B30" s="1" t="s">
        <v>74</v>
      </c>
      <c r="F30" s="14"/>
      <c r="G30" s="15"/>
      <c r="H30" s="15"/>
      <c r="I30" s="24" t="s">
        <v>86</v>
      </c>
      <c r="J30" s="15"/>
      <c r="K30" s="15"/>
      <c r="L30" s="17"/>
    </row>
    <row r="31" spans="2:12">
      <c r="C31" s="1" t="s">
        <v>98</v>
      </c>
      <c r="D31" s="22"/>
      <c r="F31" s="5" t="s">
        <v>94</v>
      </c>
      <c r="J31" s="1" t="s">
        <v>96</v>
      </c>
      <c r="L31" s="23">
        <f>H31+H32-L32</f>
        <v>0</v>
      </c>
    </row>
    <row r="32" spans="2:12">
      <c r="C32" s="1" t="s">
        <v>11</v>
      </c>
      <c r="D32" s="1">
        <f>D10</f>
        <v>0</v>
      </c>
      <c r="F32" s="129" t="s">
        <v>97</v>
      </c>
      <c r="G32" s="11"/>
      <c r="H32" s="34"/>
      <c r="I32" s="11"/>
      <c r="J32" s="11" t="s">
        <v>90</v>
      </c>
      <c r="K32" s="11"/>
      <c r="L32" s="8"/>
    </row>
    <row r="33" spans="2:12">
      <c r="C33" s="1" t="s">
        <v>125</v>
      </c>
      <c r="D33" s="1">
        <f>D11</f>
        <v>0</v>
      </c>
      <c r="F33" s="14" t="s">
        <v>6</v>
      </c>
      <c r="G33" s="15"/>
      <c r="H33" s="15">
        <f>H31+H32</f>
        <v>0</v>
      </c>
      <c r="I33" s="15"/>
      <c r="J33" s="16" t="s">
        <v>6</v>
      </c>
      <c r="K33" s="15"/>
      <c r="L33" s="17">
        <f>L31+L32</f>
        <v>0</v>
      </c>
    </row>
    <row r="34" spans="2:12">
      <c r="C34" s="1" t="s">
        <v>13</v>
      </c>
      <c r="D34" s="1">
        <f>D12</f>
        <v>0</v>
      </c>
      <c r="F34" s="1"/>
    </row>
    <row r="35" spans="2:12">
      <c r="C35" s="1" t="s">
        <v>158</v>
      </c>
      <c r="I35" s="29" t="s">
        <v>92</v>
      </c>
      <c r="J35" s="40">
        <v>0.5</v>
      </c>
      <c r="K35" s="351" t="s">
        <v>93</v>
      </c>
    </row>
    <row r="36" spans="2:12">
      <c r="C36" s="1" t="s">
        <v>159</v>
      </c>
    </row>
    <row r="38" spans="2:12">
      <c r="B38" s="1" t="s">
        <v>76</v>
      </c>
      <c r="D38" s="1">
        <f>SUM(D31:D36)</f>
        <v>0</v>
      </c>
      <c r="F38" s="1"/>
    </row>
    <row r="39" spans="2:12">
      <c r="F39"/>
      <c r="G39"/>
      <c r="H39"/>
      <c r="I39"/>
      <c r="J39"/>
      <c r="K39"/>
      <c r="L39"/>
    </row>
    <row r="40" spans="2:12">
      <c r="B40" s="26" t="s">
        <v>77</v>
      </c>
      <c r="C40" s="26"/>
      <c r="D40" s="26">
        <f>D26+D38</f>
        <v>0</v>
      </c>
      <c r="F40"/>
      <c r="G40"/>
      <c r="H40"/>
      <c r="I40"/>
      <c r="J40"/>
      <c r="K40"/>
      <c r="L40"/>
    </row>
    <row r="41" spans="2:12">
      <c r="F41"/>
      <c r="G41"/>
      <c r="H41"/>
      <c r="I41"/>
      <c r="J41"/>
      <c r="K41"/>
      <c r="L41"/>
    </row>
    <row r="42" spans="2:12">
      <c r="B42" s="1" t="s">
        <v>78</v>
      </c>
      <c r="D42" s="1">
        <f>'February-2'!C70</f>
        <v>14620</v>
      </c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4" spans="2:12">
      <c r="B44" s="1" t="s">
        <v>79</v>
      </c>
      <c r="D44" s="27">
        <f>D40+D42</f>
        <v>14620</v>
      </c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 ht="19">
      <c r="B47" s="12" t="s">
        <v>139</v>
      </c>
      <c r="C47" s="36"/>
      <c r="D47" s="12" t="s">
        <v>129</v>
      </c>
      <c r="E47" s="2"/>
      <c r="F47" s="1"/>
      <c r="G47"/>
      <c r="H47" s="2"/>
    </row>
    <row r="48" spans="2:12" ht="19">
      <c r="D48" s="12"/>
      <c r="E48" s="2"/>
      <c r="F48" s="1"/>
    </row>
    <row r="49" spans="2:12">
      <c r="B49" s="31" t="s">
        <v>165</v>
      </c>
      <c r="C49" s="128">
        <f>TIS</f>
        <v>0.2</v>
      </c>
      <c r="D49" s="1" t="s">
        <v>130</v>
      </c>
      <c r="E49" s="2"/>
      <c r="F49" s="1"/>
      <c r="H49" s="128">
        <v>0</v>
      </c>
    </row>
    <row r="50" spans="2:12">
      <c r="C50" s="2"/>
      <c r="E50" s="2"/>
      <c r="F50" s="1"/>
    </row>
    <row r="51" spans="2:12">
      <c r="B51" s="1" t="s">
        <v>166</v>
      </c>
      <c r="C51" s="2"/>
      <c r="D51" s="1" t="s">
        <v>167</v>
      </c>
      <c r="E51" s="2"/>
      <c r="F51" s="1"/>
      <c r="H51" s="2">
        <f>C55</f>
        <v>0</v>
      </c>
      <c r="J51" s="37"/>
    </row>
    <row r="52" spans="2:12">
      <c r="C52" s="2"/>
      <c r="E52" s="2"/>
      <c r="F52" s="1"/>
      <c r="H52" s="2"/>
    </row>
    <row r="53" spans="2:12">
      <c r="B53" s="1" t="s">
        <v>141</v>
      </c>
      <c r="C53" s="2">
        <f>-C51*TIS</f>
        <v>0</v>
      </c>
      <c r="D53" s="1" t="s">
        <v>131</v>
      </c>
      <c r="E53" s="2"/>
      <c r="F53" s="1"/>
      <c r="H53" s="302">
        <f>C55*H49</f>
        <v>0</v>
      </c>
    </row>
    <row r="54" spans="2:12">
      <c r="C54" s="2"/>
      <c r="E54" s="2"/>
      <c r="F54" s="1"/>
      <c r="H54" s="2"/>
    </row>
    <row r="55" spans="2:12">
      <c r="B55" s="1" t="s">
        <v>167</v>
      </c>
      <c r="C55" s="2">
        <f>C51+C53</f>
        <v>0</v>
      </c>
      <c r="D55" s="1" t="s">
        <v>185</v>
      </c>
      <c r="E55" s="2"/>
      <c r="F55" s="1"/>
      <c r="H55" s="303">
        <f>C55-H53</f>
        <v>0</v>
      </c>
    </row>
    <row r="56" spans="2:12">
      <c r="F56" s="1"/>
    </row>
    <row r="57" spans="2:12" s="2" customFormat="1">
      <c r="B57" s="1"/>
      <c r="C57" s="1"/>
      <c r="D57" s="1"/>
      <c r="E57" s="1"/>
      <c r="G57" s="1"/>
      <c r="H57" s="1"/>
      <c r="I57" s="1"/>
      <c r="J57" s="1"/>
      <c r="K57" s="1"/>
      <c r="L57" s="1"/>
    </row>
    <row r="58" spans="2:12" s="2" customFormat="1" ht="19">
      <c r="B58" s="12" t="s">
        <v>80</v>
      </c>
      <c r="C58" s="1"/>
      <c r="D58" s="12"/>
      <c r="E58" s="1"/>
      <c r="G58" s="1"/>
      <c r="H58" s="1"/>
      <c r="I58" s="1"/>
      <c r="J58" s="1"/>
      <c r="K58" s="1"/>
      <c r="L58" s="1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60</v>
      </c>
      <c r="C61" s="6"/>
      <c r="D61" s="5" t="s">
        <v>84</v>
      </c>
      <c r="E61" s="6"/>
      <c r="G61" s="1"/>
      <c r="H61" s="1"/>
      <c r="I61" s="1"/>
      <c r="J61" s="1"/>
      <c r="K61" s="1"/>
      <c r="L61" s="1"/>
    </row>
    <row r="62" spans="2:12" s="2" customFormat="1" ht="10" customHeight="1">
      <c r="B62" s="7"/>
      <c r="C62" s="8"/>
      <c r="D62" s="7"/>
      <c r="E62" s="8"/>
      <c r="F62" s="30"/>
      <c r="G62" s="1"/>
      <c r="I62" s="31"/>
      <c r="J62" s="1"/>
      <c r="K62" s="1"/>
      <c r="L62" s="1"/>
    </row>
    <row r="63" spans="2:12" s="2" customFormat="1">
      <c r="B63" s="3"/>
      <c r="C63" s="4"/>
      <c r="D63" s="3"/>
      <c r="E63" s="4"/>
      <c r="F63" s="115"/>
      <c r="G63" s="116" t="s">
        <v>90</v>
      </c>
      <c r="H63" s="116"/>
      <c r="I63" s="117"/>
      <c r="J63" s="1"/>
      <c r="K63" s="1"/>
      <c r="L63" s="1"/>
    </row>
    <row r="64" spans="2:12" s="2" customFormat="1">
      <c r="B64" s="9"/>
      <c r="C64" s="10"/>
      <c r="D64" s="9" t="s">
        <v>62</v>
      </c>
      <c r="E64" s="10">
        <f>NA*PAR</f>
        <v>10000</v>
      </c>
      <c r="F64" s="5"/>
      <c r="G64" s="31" t="s">
        <v>191</v>
      </c>
      <c r="I64" s="6" t="s">
        <v>192</v>
      </c>
      <c r="J64" s="1"/>
      <c r="K64" s="1"/>
      <c r="L64" s="1"/>
    </row>
    <row r="65" spans="2:12" s="2" customFormat="1">
      <c r="B65" s="9" t="s">
        <v>127</v>
      </c>
      <c r="C65" s="10"/>
      <c r="D65" s="9" t="s">
        <v>85</v>
      </c>
      <c r="E65" s="43"/>
      <c r="F65" s="13" t="s">
        <v>23</v>
      </c>
      <c r="G65" s="11"/>
      <c r="H65" s="11"/>
      <c r="I65" s="118"/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128</v>
      </c>
      <c r="C67" s="10"/>
      <c r="D67" s="9" t="s">
        <v>82</v>
      </c>
      <c r="E67" s="10">
        <f>E64+E65</f>
        <v>10000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135</v>
      </c>
      <c r="E69" s="41">
        <f>'January-2'!E77+'March frame'!D36</f>
        <v>0</v>
      </c>
      <c r="G69" s="1"/>
      <c r="H69" s="1"/>
      <c r="I69" s="1"/>
      <c r="J69" s="1"/>
      <c r="K69" s="1"/>
      <c r="L69" s="1"/>
    </row>
    <row r="70" spans="2:12" s="2" customFormat="1">
      <c r="B70" s="9" t="s">
        <v>63</v>
      </c>
      <c r="C70" s="28"/>
      <c r="D70" s="9" t="s">
        <v>86</v>
      </c>
      <c r="E70" s="10"/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145</v>
      </c>
      <c r="E71" s="10"/>
      <c r="G71" s="1"/>
      <c r="H71" s="1"/>
      <c r="I71" s="1"/>
      <c r="J71" s="1"/>
      <c r="K71" s="1"/>
      <c r="L71" s="1"/>
    </row>
    <row r="72" spans="2:12">
      <c r="B72" s="9"/>
      <c r="C72" s="10"/>
      <c r="D72" s="9"/>
      <c r="E72" s="10"/>
    </row>
    <row r="73" spans="2:12">
      <c r="B73" s="18" t="s">
        <v>88</v>
      </c>
      <c r="C73" s="19">
        <f>C67+C70+C65</f>
        <v>0</v>
      </c>
      <c r="D73" s="18" t="s">
        <v>87</v>
      </c>
      <c r="E73" s="19">
        <f>E67+E70+E71+E69</f>
        <v>10000</v>
      </c>
    </row>
    <row r="74" spans="2:12">
      <c r="B74" s="7"/>
      <c r="C74" s="8"/>
      <c r="D74" s="7"/>
      <c r="E74" s="8"/>
    </row>
    <row r="77" spans="2:12" ht="19">
      <c r="B77" s="12"/>
    </row>
    <row r="85" spans="2:4" ht="19">
      <c r="B85" s="87"/>
      <c r="C85" s="87"/>
      <c r="D85" s="87"/>
    </row>
    <row r="91" spans="2:4">
      <c r="B91" s="26"/>
      <c r="C91" s="26"/>
      <c r="D91" s="2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F8FA-ABE3-0F44-A378-EDE760F4FD0A}">
  <dimension ref="B2:M91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6.1640625" style="1" customWidth="1"/>
    <col min="3" max="3" width="18.83203125" style="1" customWidth="1"/>
    <col min="4" max="4" width="24.33203125" style="1" customWidth="1"/>
    <col min="5" max="5" width="6.83203125" style="1" customWidth="1"/>
    <col min="6" max="6" width="9.832031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D4" s="1">
        <f>F4*H4+J4*L4</f>
        <v>38500</v>
      </c>
      <c r="F4" s="9">
        <v>700</v>
      </c>
      <c r="G4" s="2" t="s">
        <v>70</v>
      </c>
      <c r="H4" s="1">
        <f>PVB2C</f>
        <v>30</v>
      </c>
      <c r="I4" s="10" t="s">
        <v>71</v>
      </c>
      <c r="J4" s="9">
        <v>700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M5" s="10"/>
    </row>
    <row r="6" spans="2:13">
      <c r="B6" s="1" t="s">
        <v>66</v>
      </c>
      <c r="D6" s="33">
        <f>-(F6*H6+J6*L6)</f>
        <v>-28000</v>
      </c>
      <c r="F6" s="326">
        <f>F4</f>
        <v>700</v>
      </c>
      <c r="G6" s="25" t="s">
        <v>70</v>
      </c>
      <c r="H6" s="33">
        <f>PAP</f>
        <v>20</v>
      </c>
      <c r="I6" s="8" t="s">
        <v>71</v>
      </c>
      <c r="J6" s="326">
        <f>J4</f>
        <v>700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D8" s="1">
        <f>D4+D6</f>
        <v>10500</v>
      </c>
    </row>
    <row r="10" spans="2:13">
      <c r="B10" s="1" t="s">
        <v>99</v>
      </c>
      <c r="D10" s="1">
        <f>-MAN*H10-ADOP*K10</f>
        <v>-3000</v>
      </c>
      <c r="F10" s="44" t="s">
        <v>41</v>
      </c>
      <c r="G10" s="17"/>
      <c r="H10" s="298">
        <v>1</v>
      </c>
      <c r="I10" s="44" t="s">
        <v>35</v>
      </c>
      <c r="J10" s="17"/>
      <c r="K10" s="298">
        <v>1</v>
      </c>
    </row>
    <row r="11" spans="2:13">
      <c r="B11" s="1" t="s">
        <v>100</v>
      </c>
      <c r="D11" s="1">
        <f>-MKT*H11</f>
        <v>-2600</v>
      </c>
      <c r="F11" s="44" t="s">
        <v>65</v>
      </c>
      <c r="G11" s="17"/>
      <c r="H11" s="298">
        <v>2</v>
      </c>
    </row>
    <row r="12" spans="2:13">
      <c r="B12" s="31" t="s">
        <v>188</v>
      </c>
      <c r="D12" s="112">
        <f>-ING*H12</f>
        <v>-3000</v>
      </c>
      <c r="F12" s="44" t="s">
        <v>118</v>
      </c>
      <c r="G12" s="17"/>
      <c r="H12" s="298">
        <v>2</v>
      </c>
    </row>
    <row r="13" spans="2:13">
      <c r="B13" s="31"/>
    </row>
    <row r="14" spans="2:13">
      <c r="B14" s="1" t="s">
        <v>160</v>
      </c>
      <c r="D14" s="1">
        <f>D8+D11+D10+D12</f>
        <v>1900</v>
      </c>
      <c r="F14" s="14"/>
      <c r="G14" s="15"/>
      <c r="H14" s="15"/>
      <c r="I14" s="24" t="s">
        <v>103</v>
      </c>
      <c r="J14" s="15"/>
      <c r="K14" s="15"/>
      <c r="L14" s="17"/>
    </row>
    <row r="15" spans="2:13">
      <c r="B15" s="1" t="s">
        <v>161</v>
      </c>
      <c r="D15" s="11">
        <f>-M15</f>
        <v>0</v>
      </c>
      <c r="F15" s="5" t="s">
        <v>94</v>
      </c>
      <c r="H15" s="1">
        <f>'February-2'!L16</f>
        <v>450</v>
      </c>
      <c r="J15" s="1" t="s">
        <v>102</v>
      </c>
      <c r="L15" s="10">
        <f>F6+J6</f>
        <v>1400</v>
      </c>
      <c r="M15"/>
    </row>
    <row r="16" spans="2:13">
      <c r="F16" s="13" t="s">
        <v>97</v>
      </c>
      <c r="G16" s="11"/>
      <c r="H16" s="11">
        <v>1350</v>
      </c>
      <c r="I16" s="11"/>
      <c r="J16" s="11" t="s">
        <v>90</v>
      </c>
      <c r="K16" s="11"/>
      <c r="L16" s="8">
        <f>H17-L15</f>
        <v>400</v>
      </c>
    </row>
    <row r="17" spans="2:12">
      <c r="B17" s="1" t="s">
        <v>162</v>
      </c>
      <c r="D17" s="1">
        <f>D14+D15</f>
        <v>1900</v>
      </c>
      <c r="F17" s="14" t="s">
        <v>6</v>
      </c>
      <c r="G17" s="15"/>
      <c r="H17" s="15">
        <f>H15+H16</f>
        <v>1800</v>
      </c>
      <c r="I17" s="15"/>
      <c r="J17" s="16" t="s">
        <v>6</v>
      </c>
      <c r="K17" s="15"/>
      <c r="L17" s="17">
        <f>L15+L16</f>
        <v>1800</v>
      </c>
    </row>
    <row r="18" spans="2:12">
      <c r="F18" s="1"/>
    </row>
    <row r="19" spans="2:12">
      <c r="B19" s="1" t="s">
        <v>163</v>
      </c>
      <c r="D19" s="11">
        <f>C53</f>
        <v>-380</v>
      </c>
      <c r="F19" s="14"/>
      <c r="G19" s="15"/>
      <c r="H19" s="15"/>
      <c r="I19" s="24" t="s">
        <v>104</v>
      </c>
      <c r="J19" s="15"/>
      <c r="K19" s="15"/>
      <c r="L19" s="17"/>
    </row>
    <row r="20" spans="2:12">
      <c r="F20" s="5" t="s">
        <v>94</v>
      </c>
      <c r="H20" s="1">
        <f>H15*H6</f>
        <v>9000</v>
      </c>
      <c r="J20" s="1" t="s">
        <v>106</v>
      </c>
      <c r="L20" s="32">
        <f>L15*H6</f>
        <v>28000</v>
      </c>
    </row>
    <row r="21" spans="2:12">
      <c r="B21" s="1" t="s">
        <v>164</v>
      </c>
      <c r="D21" s="1">
        <f>D17+D19</f>
        <v>1520</v>
      </c>
      <c r="F21" s="13" t="s">
        <v>105</v>
      </c>
      <c r="G21" s="11"/>
      <c r="H21" s="34">
        <f>H16*H6</f>
        <v>27000</v>
      </c>
      <c r="I21" s="11"/>
      <c r="J21" s="11" t="s">
        <v>90</v>
      </c>
      <c r="K21" s="11"/>
      <c r="L21" s="8">
        <f>H22-L20</f>
        <v>8000</v>
      </c>
    </row>
    <row r="22" spans="2:12">
      <c r="F22" s="14" t="s">
        <v>6</v>
      </c>
      <c r="G22" s="15"/>
      <c r="H22" s="15">
        <f>H20+H21</f>
        <v>36000</v>
      </c>
      <c r="I22" s="15"/>
      <c r="J22" s="16" t="s">
        <v>6</v>
      </c>
      <c r="K22" s="15"/>
      <c r="L22" s="17">
        <f>L20+L21</f>
        <v>36000</v>
      </c>
    </row>
    <row r="24" spans="2:12" ht="19">
      <c r="B24" s="12" t="s">
        <v>72</v>
      </c>
    </row>
    <row r="25" spans="2:12">
      <c r="F25" s="14"/>
      <c r="G25" s="15"/>
      <c r="H25" s="15"/>
      <c r="I25" s="24" t="s">
        <v>89</v>
      </c>
      <c r="J25" s="15"/>
      <c r="K25" s="15"/>
      <c r="L25" s="17"/>
    </row>
    <row r="26" spans="2:12">
      <c r="B26" s="1" t="s">
        <v>73</v>
      </c>
      <c r="D26" s="20">
        <f>L26</f>
        <v>36000</v>
      </c>
      <c r="F26" s="5" t="s">
        <v>94</v>
      </c>
      <c r="H26" s="1">
        <f>'February-2'!L27</f>
        <v>15000</v>
      </c>
      <c r="J26" s="1" t="s">
        <v>95</v>
      </c>
      <c r="L26" s="21">
        <f>H26+H27-L27</f>
        <v>36000</v>
      </c>
    </row>
    <row r="27" spans="2:12">
      <c r="B27" s="1" t="s">
        <v>1</v>
      </c>
      <c r="F27" s="13" t="s">
        <v>65</v>
      </c>
      <c r="G27" s="11"/>
      <c r="H27" s="11">
        <f>D4</f>
        <v>38500</v>
      </c>
      <c r="I27" s="11"/>
      <c r="J27" s="11" t="s">
        <v>90</v>
      </c>
      <c r="K27" s="11"/>
      <c r="L27" s="8">
        <f>J4*L4</f>
        <v>17500</v>
      </c>
    </row>
    <row r="28" spans="2:12">
      <c r="F28" s="14" t="s">
        <v>6</v>
      </c>
      <c r="G28" s="15"/>
      <c r="H28" s="15">
        <f>H26+H27</f>
        <v>53500</v>
      </c>
      <c r="I28" s="15"/>
      <c r="J28" s="16" t="s">
        <v>6</v>
      </c>
      <c r="K28" s="15"/>
      <c r="L28" s="17">
        <f>L26+L27</f>
        <v>53500</v>
      </c>
    </row>
    <row r="30" spans="2:12">
      <c r="B30" s="1" t="s">
        <v>74</v>
      </c>
      <c r="F30" s="14"/>
      <c r="G30" s="15"/>
      <c r="H30" s="15"/>
      <c r="I30" s="24" t="s">
        <v>86</v>
      </c>
      <c r="J30" s="15"/>
      <c r="K30" s="15"/>
      <c r="L30" s="17"/>
    </row>
    <row r="31" spans="2:12">
      <c r="C31" s="1" t="s">
        <v>98</v>
      </c>
      <c r="D31" s="22">
        <f>-L31</f>
        <v>-28500</v>
      </c>
      <c r="F31" s="5" t="s">
        <v>94</v>
      </c>
      <c r="H31" s="1">
        <f>'February-2'!L32</f>
        <v>15000</v>
      </c>
      <c r="J31" s="1" t="s">
        <v>96</v>
      </c>
      <c r="L31" s="23">
        <f>H31+H32-L32</f>
        <v>28500</v>
      </c>
    </row>
    <row r="32" spans="2:12">
      <c r="C32" s="1" t="s">
        <v>11</v>
      </c>
      <c r="D32" s="1">
        <f>D10</f>
        <v>-3000</v>
      </c>
      <c r="F32" s="13" t="s">
        <v>97</v>
      </c>
      <c r="G32" s="11"/>
      <c r="H32" s="34">
        <f>H21</f>
        <v>27000</v>
      </c>
      <c r="I32" s="11"/>
      <c r="J32" s="11" t="s">
        <v>90</v>
      </c>
      <c r="K32" s="11"/>
      <c r="L32" s="8">
        <f>J35*H32</f>
        <v>13500</v>
      </c>
    </row>
    <row r="33" spans="2:12">
      <c r="C33" s="1" t="s">
        <v>125</v>
      </c>
      <c r="D33" s="1">
        <f>D11</f>
        <v>-2600</v>
      </c>
      <c r="F33" s="14" t="s">
        <v>6</v>
      </c>
      <c r="G33" s="15"/>
      <c r="H33" s="15">
        <f>H31+H32</f>
        <v>42000</v>
      </c>
      <c r="I33" s="15"/>
      <c r="J33" s="16" t="s">
        <v>6</v>
      </c>
      <c r="K33" s="15"/>
      <c r="L33" s="17">
        <f>L31+L32</f>
        <v>42000</v>
      </c>
    </row>
    <row r="34" spans="2:12">
      <c r="C34" s="1" t="s">
        <v>13</v>
      </c>
      <c r="D34" s="1">
        <f>D12</f>
        <v>-3000</v>
      </c>
      <c r="F34" s="1"/>
    </row>
    <row r="35" spans="2:12">
      <c r="C35" s="1" t="s">
        <v>158</v>
      </c>
      <c r="D35" s="1">
        <v>0</v>
      </c>
      <c r="I35" s="29" t="s">
        <v>92</v>
      </c>
      <c r="J35" s="40">
        <v>0.5</v>
      </c>
      <c r="K35" s="351" t="s">
        <v>93</v>
      </c>
    </row>
    <row r="36" spans="2:12">
      <c r="C36" s="1" t="s">
        <v>159</v>
      </c>
      <c r="D36" s="1">
        <v>0</v>
      </c>
      <c r="F36" s="1"/>
    </row>
    <row r="37" spans="2:12">
      <c r="F37" s="1"/>
    </row>
    <row r="38" spans="2:12">
      <c r="B38" s="1" t="s">
        <v>76</v>
      </c>
      <c r="D38" s="1">
        <f>SUM(D31:D36)</f>
        <v>-37100</v>
      </c>
      <c r="F38" s="1"/>
    </row>
    <row r="39" spans="2:12">
      <c r="F39"/>
      <c r="G39"/>
      <c r="H39"/>
      <c r="I39"/>
      <c r="J39"/>
      <c r="K39"/>
      <c r="L39"/>
    </row>
    <row r="40" spans="2:12">
      <c r="B40" s="26" t="s">
        <v>77</v>
      </c>
      <c r="C40" s="26"/>
      <c r="D40" s="26">
        <f>D26+D38</f>
        <v>-1100</v>
      </c>
      <c r="F40"/>
      <c r="G40"/>
      <c r="H40"/>
      <c r="I40"/>
      <c r="J40"/>
      <c r="K40"/>
      <c r="L40"/>
    </row>
    <row r="41" spans="2:12">
      <c r="F41"/>
      <c r="G41"/>
      <c r="H41"/>
      <c r="I41"/>
      <c r="J41"/>
      <c r="K41"/>
      <c r="L41"/>
    </row>
    <row r="42" spans="2:12">
      <c r="B42" s="1" t="s">
        <v>78</v>
      </c>
      <c r="D42" s="1">
        <f>'February-2'!C70</f>
        <v>14620</v>
      </c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4" spans="2:12">
      <c r="B44" s="1" t="s">
        <v>79</v>
      </c>
      <c r="D44" s="27">
        <f>D40+D42</f>
        <v>13520</v>
      </c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 ht="19">
      <c r="B47" s="12" t="s">
        <v>139</v>
      </c>
      <c r="C47" s="36"/>
      <c r="D47" s="12" t="s">
        <v>129</v>
      </c>
      <c r="E47" s="2"/>
      <c r="F47" s="1"/>
      <c r="H47" s="2"/>
    </row>
    <row r="48" spans="2:12" ht="19">
      <c r="D48" s="12"/>
      <c r="E48" s="2"/>
      <c r="F48" s="1"/>
    </row>
    <row r="49" spans="2:12">
      <c r="B49" s="31" t="s">
        <v>165</v>
      </c>
      <c r="C49" s="128">
        <f>TIS</f>
        <v>0.2</v>
      </c>
      <c r="D49" s="1" t="s">
        <v>130</v>
      </c>
      <c r="E49" s="2"/>
      <c r="F49" s="128">
        <v>0</v>
      </c>
    </row>
    <row r="50" spans="2:12">
      <c r="C50" s="2"/>
      <c r="E50" s="2"/>
      <c r="F50" s="1"/>
    </row>
    <row r="51" spans="2:12">
      <c r="B51" s="1" t="s">
        <v>166</v>
      </c>
      <c r="C51" s="2">
        <f>D17</f>
        <v>1900</v>
      </c>
      <c r="D51" s="1" t="s">
        <v>167</v>
      </c>
      <c r="E51" s="2"/>
      <c r="F51" s="2">
        <f>C55</f>
        <v>1520</v>
      </c>
      <c r="J51" s="37"/>
    </row>
    <row r="52" spans="2:12">
      <c r="C52" s="2"/>
      <c r="E52" s="2"/>
    </row>
    <row r="53" spans="2:12">
      <c r="B53" s="1" t="s">
        <v>141</v>
      </c>
      <c r="C53" s="2">
        <f>-C51*TIS</f>
        <v>-380</v>
      </c>
      <c r="D53" s="1" t="s">
        <v>131</v>
      </c>
      <c r="E53" s="2"/>
      <c r="F53" s="302">
        <f>C55*F49</f>
        <v>0</v>
      </c>
    </row>
    <row r="54" spans="2:12">
      <c r="C54" s="2"/>
      <c r="E54" s="2"/>
    </row>
    <row r="55" spans="2:12">
      <c r="B55" s="1" t="s">
        <v>167</v>
      </c>
      <c r="C55" s="2">
        <f>C51+C53</f>
        <v>1520</v>
      </c>
      <c r="D55" s="1" t="s">
        <v>185</v>
      </c>
      <c r="E55" s="2"/>
      <c r="F55" s="303">
        <f>C55-F53</f>
        <v>1520</v>
      </c>
    </row>
    <row r="56" spans="2:12">
      <c r="F56" s="1"/>
    </row>
    <row r="57" spans="2:12" s="2" customFormat="1">
      <c r="B57" s="1"/>
      <c r="C57" s="1"/>
      <c r="D57" s="1"/>
      <c r="E57" s="1"/>
      <c r="G57" s="1"/>
      <c r="H57" s="1"/>
      <c r="I57" s="1"/>
      <c r="J57" s="1"/>
      <c r="K57" s="1"/>
      <c r="L57" s="1"/>
    </row>
    <row r="58" spans="2:12" s="2" customFormat="1" ht="19">
      <c r="B58" s="12" t="s">
        <v>80</v>
      </c>
      <c r="C58" s="1"/>
      <c r="D58" s="12"/>
      <c r="E58" s="1"/>
      <c r="G58" s="1"/>
      <c r="H58" s="1"/>
      <c r="I58" s="1"/>
      <c r="J58" s="1"/>
      <c r="K58" s="1"/>
      <c r="L58" s="1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60</v>
      </c>
      <c r="C61" s="6"/>
      <c r="D61" s="5" t="s">
        <v>84</v>
      </c>
      <c r="E61" s="6"/>
      <c r="G61" s="1"/>
      <c r="H61" s="1"/>
      <c r="I61" s="1"/>
      <c r="J61" s="1"/>
      <c r="K61" s="1"/>
      <c r="L61" s="1"/>
    </row>
    <row r="62" spans="2:12" s="2" customFormat="1" ht="11" customHeight="1">
      <c r="B62" s="7"/>
      <c r="C62" s="8"/>
      <c r="D62" s="7"/>
      <c r="E62" s="8"/>
      <c r="F62" s="30"/>
      <c r="G62" s="1"/>
      <c r="I62" s="31"/>
      <c r="J62" s="1"/>
      <c r="K62" s="1"/>
      <c r="L62" s="1"/>
    </row>
    <row r="63" spans="2:12" s="2" customFormat="1">
      <c r="B63" s="3"/>
      <c r="C63" s="4"/>
      <c r="D63" s="3"/>
      <c r="E63" s="4"/>
      <c r="F63" s="115"/>
      <c r="G63" s="116" t="s">
        <v>90</v>
      </c>
      <c r="H63" s="116"/>
      <c r="I63" s="117"/>
      <c r="J63" s="1"/>
      <c r="K63" s="1"/>
      <c r="L63" s="1"/>
    </row>
    <row r="64" spans="2:12" s="2" customFormat="1">
      <c r="B64" s="9"/>
      <c r="C64" s="10"/>
      <c r="D64" s="9" t="s">
        <v>62</v>
      </c>
      <c r="E64" s="10">
        <f>NA*PAR</f>
        <v>10000</v>
      </c>
      <c r="F64" s="5"/>
      <c r="G64" s="31" t="s">
        <v>191</v>
      </c>
      <c r="I64" s="6" t="s">
        <v>192</v>
      </c>
      <c r="J64" s="1"/>
      <c r="K64" s="1"/>
      <c r="L64" s="1"/>
    </row>
    <row r="65" spans="2:12" s="2" customFormat="1">
      <c r="B65" s="9" t="s">
        <v>127</v>
      </c>
      <c r="C65" s="10">
        <f>L21</f>
        <v>8000</v>
      </c>
      <c r="D65" s="9" t="s">
        <v>85</v>
      </c>
      <c r="E65" s="43">
        <f>'February-2'!E65+F55</f>
        <v>14160</v>
      </c>
      <c r="F65" s="13" t="s">
        <v>23</v>
      </c>
      <c r="G65" s="11">
        <f>'February-2'!E65</f>
        <v>12640</v>
      </c>
      <c r="H65" s="11"/>
      <c r="I65" s="118">
        <f>F55</f>
        <v>1520</v>
      </c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128</v>
      </c>
      <c r="C67" s="10">
        <f>L27</f>
        <v>17500</v>
      </c>
      <c r="D67" s="9" t="s">
        <v>82</v>
      </c>
      <c r="E67" s="10">
        <f>E64+E65</f>
        <v>24160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135</v>
      </c>
      <c r="E69" s="41">
        <f>'February-2'!E69+'March-2'!D36+F53</f>
        <v>0</v>
      </c>
      <c r="G69" s="1"/>
      <c r="H69" s="1"/>
      <c r="I69" s="1"/>
      <c r="J69" s="1"/>
      <c r="K69" s="1"/>
      <c r="L69" s="1"/>
    </row>
    <row r="70" spans="2:12" s="2" customFormat="1">
      <c r="B70" s="9" t="s">
        <v>63</v>
      </c>
      <c r="C70" s="28">
        <f>'March-2'!D44</f>
        <v>13520</v>
      </c>
      <c r="D70" s="9" t="s">
        <v>86</v>
      </c>
      <c r="E70" s="10">
        <f>L32</f>
        <v>13500</v>
      </c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145</v>
      </c>
      <c r="E71" s="10">
        <f>'February-2'!E71-'March-2'!C53+'March-2'!D35</f>
        <v>1360</v>
      </c>
      <c r="G71" s="1"/>
      <c r="H71" s="1"/>
      <c r="I71" s="1"/>
      <c r="J71" s="1"/>
      <c r="K71" s="1"/>
      <c r="L71" s="1"/>
    </row>
    <row r="72" spans="2:12">
      <c r="B72" s="9"/>
      <c r="C72" s="10"/>
      <c r="D72" s="9"/>
      <c r="E72" s="10"/>
    </row>
    <row r="73" spans="2:12">
      <c r="B73" s="18" t="s">
        <v>88</v>
      </c>
      <c r="C73" s="19">
        <f>C67+C70+C65</f>
        <v>39020</v>
      </c>
      <c r="D73" s="18" t="s">
        <v>87</v>
      </c>
      <c r="E73" s="19">
        <f>E67+E70+E71+E69</f>
        <v>39020</v>
      </c>
    </row>
    <row r="74" spans="2:12">
      <c r="B74" s="7"/>
      <c r="C74" s="8"/>
      <c r="D74" s="7"/>
      <c r="E74" s="8"/>
    </row>
    <row r="77" spans="2:12" ht="19">
      <c r="B77" s="12" t="s">
        <v>182</v>
      </c>
    </row>
    <row r="79" spans="2:12">
      <c r="B79" s="1" t="s">
        <v>173</v>
      </c>
      <c r="D79" s="1">
        <f>'Financial analysis March-2'!I91</f>
        <v>12000</v>
      </c>
    </row>
    <row r="81" spans="2:4">
      <c r="B81" s="1" t="s">
        <v>183</v>
      </c>
      <c r="D81" s="1">
        <f>'Financial analysis March-2'!I91-'Financial analysis March-2'!H91</f>
        <v>3000</v>
      </c>
    </row>
    <row r="83" spans="2:4">
      <c r="B83" s="1" t="s">
        <v>181</v>
      </c>
      <c r="D83" s="1">
        <f>D14</f>
        <v>1900</v>
      </c>
    </row>
    <row r="85" spans="2:4" ht="19">
      <c r="B85" s="87" t="s">
        <v>184</v>
      </c>
      <c r="C85" s="310"/>
      <c r="D85" s="310">
        <f>D83-D81</f>
        <v>-1100</v>
      </c>
    </row>
    <row r="87" spans="2:4">
      <c r="B87" s="1" t="s">
        <v>176</v>
      </c>
      <c r="D87" s="1">
        <f>D35</f>
        <v>0</v>
      </c>
    </row>
    <row r="89" spans="2:4">
      <c r="B89" s="1" t="s">
        <v>177</v>
      </c>
      <c r="D89" s="1">
        <f>D36</f>
        <v>0</v>
      </c>
    </row>
    <row r="91" spans="2:4">
      <c r="B91" s="26" t="s">
        <v>178</v>
      </c>
      <c r="C91" s="26"/>
      <c r="D91" s="26">
        <f>D85+D87+D89</f>
        <v>-1100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D93-5CC5-BE4A-BE9E-BF0C0DE3F0F1}">
  <dimension ref="B3:I92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9" width="10.83203125" style="89"/>
  </cols>
  <sheetData>
    <row r="3" spans="2:9" ht="19">
      <c r="B3" s="12"/>
    </row>
    <row r="4" spans="2:9">
      <c r="B4" s="50"/>
      <c r="C4" s="102"/>
      <c r="D4" s="102"/>
      <c r="E4" s="102"/>
      <c r="F4" s="102"/>
      <c r="G4" s="90"/>
      <c r="H4" s="90"/>
      <c r="I4" s="90"/>
    </row>
    <row r="5" spans="2:9" s="46" customFormat="1" ht="19">
      <c r="B5" s="80" t="s">
        <v>107</v>
      </c>
      <c r="C5" s="103" t="s">
        <v>147</v>
      </c>
      <c r="D5" s="103" t="s">
        <v>148</v>
      </c>
      <c r="E5" s="103" t="s">
        <v>149</v>
      </c>
      <c r="F5" s="103" t="s">
        <v>150</v>
      </c>
      <c r="G5" s="70" t="s">
        <v>171</v>
      </c>
      <c r="H5" s="70" t="s">
        <v>190</v>
      </c>
      <c r="I5" s="70" t="s">
        <v>192</v>
      </c>
    </row>
    <row r="6" spans="2:9">
      <c r="B6" s="53"/>
      <c r="C6" s="104"/>
      <c r="D6" s="104"/>
      <c r="E6" s="104"/>
      <c r="F6" s="104"/>
      <c r="G6" s="92"/>
      <c r="H6" s="92"/>
      <c r="I6" s="92"/>
    </row>
    <row r="7" spans="2:9">
      <c r="B7" s="50"/>
      <c r="C7" s="102"/>
      <c r="D7" s="102"/>
      <c r="E7" s="102"/>
      <c r="F7" s="102"/>
      <c r="G7" s="90"/>
      <c r="H7" s="90"/>
      <c r="I7" s="90"/>
    </row>
    <row r="8" spans="2:9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93">
        <f>'January-2'!D4</f>
        <v>27500</v>
      </c>
      <c r="H8" s="93">
        <f>'February-2'!D4</f>
        <v>34500</v>
      </c>
      <c r="I8" s="93">
        <f>'March-2'!D4</f>
        <v>38500</v>
      </c>
    </row>
    <row r="9" spans="2:9">
      <c r="B9" s="71"/>
      <c r="C9" s="100"/>
      <c r="D9" s="100"/>
      <c r="E9" s="100"/>
      <c r="F9" s="100"/>
      <c r="G9" s="91"/>
      <c r="H9" s="91"/>
      <c r="I9" s="91"/>
    </row>
    <row r="10" spans="2:9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94">
        <f>'January-2'!D6</f>
        <v>-20000</v>
      </c>
      <c r="H10" s="94">
        <f>'February-2'!D6</f>
        <v>-25000</v>
      </c>
      <c r="I10" s="94">
        <f>'March-2'!D6</f>
        <v>-28000</v>
      </c>
    </row>
    <row r="11" spans="2:9">
      <c r="B11" s="71"/>
      <c r="C11" s="100"/>
      <c r="D11" s="100"/>
      <c r="E11" s="100"/>
      <c r="F11" s="100"/>
      <c r="G11" s="91"/>
      <c r="H11" s="91"/>
      <c r="I11" s="91"/>
    </row>
    <row r="12" spans="2:9">
      <c r="B12" s="71" t="s">
        <v>108</v>
      </c>
      <c r="C12" s="100">
        <f>C8+C10</f>
        <v>2000</v>
      </c>
      <c r="D12" s="100">
        <f t="shared" ref="D12:H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  <c r="H12" s="93">
        <f t="shared" si="0"/>
        <v>9500</v>
      </c>
      <c r="I12" s="93">
        <f t="shared" ref="I12" si="1">I8+I10</f>
        <v>10500</v>
      </c>
    </row>
    <row r="13" spans="2:9">
      <c r="B13" s="71"/>
      <c r="C13" s="100"/>
      <c r="D13" s="100"/>
      <c r="E13" s="100"/>
      <c r="F13" s="100"/>
      <c r="G13" s="91"/>
      <c r="H13" s="91"/>
      <c r="I13" s="91"/>
    </row>
    <row r="14" spans="2:9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93">
        <f>'January-2'!D10</f>
        <v>-2000</v>
      </c>
      <c r="H14" s="93">
        <f>'February-2'!D10</f>
        <v>-2000</v>
      </c>
      <c r="I14" s="93">
        <f>'March-2'!D10</f>
        <v>-3000</v>
      </c>
    </row>
    <row r="15" spans="2:9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93">
        <f>'January-2'!D11</f>
        <v>-1300</v>
      </c>
      <c r="H15" s="93">
        <f>'February-2'!D11</f>
        <v>-1300</v>
      </c>
      <c r="I15" s="93">
        <f>'March-2'!D11</f>
        <v>-2600</v>
      </c>
    </row>
    <row r="16" spans="2:9">
      <c r="B16" s="71" t="s">
        <v>188</v>
      </c>
      <c r="C16" s="100"/>
      <c r="D16" s="100"/>
      <c r="E16" s="100"/>
      <c r="F16" s="100"/>
      <c r="G16" s="93"/>
      <c r="H16" s="93">
        <f>'February-2'!D12</f>
        <v>-1500</v>
      </c>
      <c r="I16" s="93">
        <f>'March-2'!D12</f>
        <v>-3000</v>
      </c>
    </row>
    <row r="17" spans="2:9">
      <c r="B17" s="71"/>
      <c r="C17" s="100"/>
      <c r="D17" s="100"/>
      <c r="E17" s="100"/>
      <c r="F17" s="100"/>
      <c r="G17" s="91"/>
      <c r="H17" s="91"/>
      <c r="I17" s="91"/>
    </row>
    <row r="18" spans="2:9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93">
        <f t="shared" si="2"/>
        <v>4200</v>
      </c>
      <c r="H18" s="93">
        <f>H12+H14+H15+H16</f>
        <v>4700</v>
      </c>
      <c r="I18" s="93">
        <f>I12+I14+I15+I16</f>
        <v>1900</v>
      </c>
    </row>
    <row r="19" spans="2:9">
      <c r="B19" s="71" t="s">
        <v>161</v>
      </c>
      <c r="C19" s="99"/>
      <c r="D19" s="99"/>
      <c r="E19" s="99"/>
      <c r="F19" s="99"/>
      <c r="G19" s="94">
        <f>'January-2'!D14</f>
        <v>-4000</v>
      </c>
      <c r="H19" s="94"/>
      <c r="I19" s="94"/>
    </row>
    <row r="20" spans="2:9">
      <c r="B20" s="71"/>
      <c r="C20" s="100"/>
      <c r="D20" s="100"/>
      <c r="E20" s="100"/>
      <c r="F20" s="100"/>
      <c r="G20" s="93"/>
      <c r="H20" s="93"/>
      <c r="I20" s="93"/>
    </row>
    <row r="21" spans="2:9">
      <c r="B21" s="71" t="s">
        <v>186</v>
      </c>
      <c r="C21" s="100">
        <f>C18+C19</f>
        <v>1000</v>
      </c>
      <c r="D21" s="100">
        <f t="shared" ref="D21:H21" si="3">D18+D19</f>
        <v>2000</v>
      </c>
      <c r="E21" s="100">
        <f t="shared" si="3"/>
        <v>3700</v>
      </c>
      <c r="F21" s="100">
        <f t="shared" si="3"/>
        <v>6700</v>
      </c>
      <c r="G21" s="71">
        <f t="shared" si="3"/>
        <v>200</v>
      </c>
      <c r="H21" s="71">
        <f t="shared" si="3"/>
        <v>4700</v>
      </c>
      <c r="I21" s="71">
        <f t="shared" ref="I21" si="4">I18+I19</f>
        <v>1900</v>
      </c>
    </row>
    <row r="22" spans="2:9">
      <c r="B22" s="71"/>
      <c r="C22" s="100"/>
      <c r="D22" s="100"/>
      <c r="E22" s="100"/>
      <c r="F22" s="100"/>
      <c r="G22" s="91"/>
      <c r="H22" s="91"/>
      <c r="I22" s="91"/>
    </row>
    <row r="23" spans="2:9">
      <c r="B23" s="71" t="s">
        <v>141</v>
      </c>
      <c r="C23" s="99">
        <f t="shared" ref="C23:I23" si="5">-C21*TIS</f>
        <v>-200</v>
      </c>
      <c r="D23" s="99">
        <f t="shared" si="5"/>
        <v>-400</v>
      </c>
      <c r="E23" s="99">
        <f t="shared" si="5"/>
        <v>-740</v>
      </c>
      <c r="F23" s="99">
        <f t="shared" si="5"/>
        <v>-1340</v>
      </c>
      <c r="G23" s="72">
        <f t="shared" si="5"/>
        <v>-40</v>
      </c>
      <c r="H23" s="72">
        <f t="shared" si="5"/>
        <v>-940</v>
      </c>
      <c r="I23" s="72">
        <f t="shared" si="5"/>
        <v>-380</v>
      </c>
    </row>
    <row r="24" spans="2:9">
      <c r="B24" s="71"/>
      <c r="C24" s="100"/>
      <c r="D24" s="100"/>
      <c r="E24" s="100"/>
      <c r="F24" s="100"/>
      <c r="G24" s="91"/>
      <c r="H24" s="91"/>
      <c r="I24" s="91"/>
    </row>
    <row r="25" spans="2:9">
      <c r="B25" s="71" t="s">
        <v>142</v>
      </c>
      <c r="C25" s="100">
        <f>C21+C23</f>
        <v>800</v>
      </c>
      <c r="D25" s="100">
        <f t="shared" ref="D25:H25" si="6">D21+D23</f>
        <v>1600</v>
      </c>
      <c r="E25" s="100">
        <f t="shared" si="6"/>
        <v>2960</v>
      </c>
      <c r="F25" s="100">
        <f t="shared" si="6"/>
        <v>5360</v>
      </c>
      <c r="G25" s="71">
        <f t="shared" si="6"/>
        <v>160</v>
      </c>
      <c r="H25" s="71">
        <f t="shared" si="6"/>
        <v>3760</v>
      </c>
      <c r="I25" s="71">
        <f t="shared" ref="I25" si="7">I21+I23</f>
        <v>1520</v>
      </c>
    </row>
    <row r="26" spans="2:9">
      <c r="B26" s="53"/>
      <c r="C26" s="104"/>
      <c r="D26" s="104"/>
      <c r="E26" s="104"/>
      <c r="F26" s="104"/>
      <c r="G26" s="92"/>
      <c r="H26" s="92"/>
      <c r="I26" s="92"/>
    </row>
    <row r="42" spans="2:9">
      <c r="B42" s="50"/>
      <c r="C42" s="102"/>
      <c r="D42" s="102"/>
      <c r="E42" s="102"/>
      <c r="F42" s="102"/>
      <c r="G42" s="90"/>
      <c r="H42" s="90"/>
      <c r="I42" s="90"/>
    </row>
    <row r="43" spans="2:9" ht="19">
      <c r="B43" s="80" t="s">
        <v>21</v>
      </c>
      <c r="C43" s="103" t="s">
        <v>147</v>
      </c>
      <c r="D43" s="103" t="s">
        <v>148</v>
      </c>
      <c r="E43" s="103" t="s">
        <v>149</v>
      </c>
      <c r="F43" s="103" t="s">
        <v>150</v>
      </c>
      <c r="G43" s="70" t="s">
        <v>171</v>
      </c>
      <c r="H43" s="70" t="s">
        <v>190</v>
      </c>
      <c r="I43" s="70" t="s">
        <v>192</v>
      </c>
    </row>
    <row r="44" spans="2:9">
      <c r="B44" s="53"/>
      <c r="C44" s="104"/>
      <c r="D44" s="104"/>
      <c r="E44" s="104"/>
      <c r="F44" s="104"/>
      <c r="G44" s="92"/>
      <c r="H44" s="92"/>
      <c r="I44" s="92"/>
    </row>
    <row r="45" spans="2:9">
      <c r="B45" s="50"/>
      <c r="C45" s="102"/>
      <c r="D45" s="102"/>
      <c r="E45" s="102"/>
      <c r="F45" s="102"/>
      <c r="G45" s="90"/>
      <c r="H45" s="90"/>
      <c r="I45" s="90"/>
    </row>
    <row r="46" spans="2:9">
      <c r="B46" s="71" t="s">
        <v>65</v>
      </c>
      <c r="C46" s="105">
        <f t="shared" ref="C46:I46" si="8">C8/C$8</f>
        <v>1</v>
      </c>
      <c r="D46" s="105">
        <f t="shared" si="8"/>
        <v>1</v>
      </c>
      <c r="E46" s="105">
        <f t="shared" si="8"/>
        <v>1</v>
      </c>
      <c r="F46" s="105">
        <f t="shared" si="8"/>
        <v>1</v>
      </c>
      <c r="G46" s="95">
        <f t="shared" si="8"/>
        <v>1</v>
      </c>
      <c r="H46" s="95">
        <f t="shared" si="8"/>
        <v>1</v>
      </c>
      <c r="I46" s="95">
        <f t="shared" si="8"/>
        <v>1</v>
      </c>
    </row>
    <row r="47" spans="2:9">
      <c r="B47" s="71"/>
      <c r="C47" s="100"/>
      <c r="D47" s="100"/>
      <c r="E47" s="100"/>
      <c r="F47" s="100"/>
      <c r="G47" s="93"/>
      <c r="H47" s="93"/>
      <c r="I47" s="93"/>
    </row>
    <row r="48" spans="2:9">
      <c r="B48" s="71" t="s">
        <v>187</v>
      </c>
      <c r="C48" s="106">
        <f t="shared" ref="C48:I48" si="9">C10/C$8</f>
        <v>-0.66666666666666663</v>
      </c>
      <c r="D48" s="106">
        <f t="shared" si="9"/>
        <v>-0.72727272727272729</v>
      </c>
      <c r="E48" s="106">
        <f t="shared" si="9"/>
        <v>-0.7407407407407407</v>
      </c>
      <c r="F48" s="106">
        <f t="shared" si="9"/>
        <v>-0.72222222222222221</v>
      </c>
      <c r="G48" s="96">
        <f t="shared" si="9"/>
        <v>-0.72727272727272729</v>
      </c>
      <c r="H48" s="96">
        <f t="shared" si="9"/>
        <v>-0.72463768115942029</v>
      </c>
      <c r="I48" s="96">
        <f t="shared" si="9"/>
        <v>-0.72727272727272729</v>
      </c>
    </row>
    <row r="49" spans="2:9">
      <c r="B49" s="71"/>
      <c r="C49" s="100"/>
      <c r="D49" s="100"/>
      <c r="E49" s="100"/>
      <c r="F49" s="100"/>
      <c r="G49" s="93"/>
      <c r="H49" s="93"/>
      <c r="I49" s="93"/>
    </row>
    <row r="50" spans="2:9">
      <c r="B50" s="71" t="s">
        <v>108</v>
      </c>
      <c r="C50" s="105">
        <f t="shared" ref="C50:I50" si="10">C12/C$8</f>
        <v>0.33333333333333331</v>
      </c>
      <c r="D50" s="105">
        <f t="shared" si="10"/>
        <v>0.27272727272727271</v>
      </c>
      <c r="E50" s="105">
        <f t="shared" si="10"/>
        <v>0.25925925925925924</v>
      </c>
      <c r="F50" s="105">
        <f t="shared" si="10"/>
        <v>0.27777777777777779</v>
      </c>
      <c r="G50" s="95">
        <f t="shared" si="10"/>
        <v>0.27272727272727271</v>
      </c>
      <c r="H50" s="95">
        <f t="shared" si="10"/>
        <v>0.27536231884057971</v>
      </c>
      <c r="I50" s="95">
        <f t="shared" si="10"/>
        <v>0.27272727272727271</v>
      </c>
    </row>
    <row r="51" spans="2:9">
      <c r="B51" s="71"/>
      <c r="C51" s="100"/>
      <c r="D51" s="100"/>
      <c r="E51" s="100"/>
      <c r="F51" s="100"/>
      <c r="G51" s="93"/>
      <c r="H51" s="93"/>
      <c r="I51" s="93"/>
    </row>
    <row r="52" spans="2:9">
      <c r="B52" s="71" t="s">
        <v>99</v>
      </c>
      <c r="C52" s="105">
        <f t="shared" ref="C52:I52" si="11">C14/C$8</f>
        <v>-0.16666666666666666</v>
      </c>
      <c r="D52" s="105">
        <f t="shared" si="11"/>
        <v>-9.0909090909090912E-2</v>
      </c>
      <c r="E52" s="105">
        <f t="shared" si="11"/>
        <v>-7.407407407407407E-2</v>
      </c>
      <c r="F52" s="105">
        <f t="shared" si="11"/>
        <v>-5.5555555555555552E-2</v>
      </c>
      <c r="G52" s="95">
        <f t="shared" si="11"/>
        <v>-7.2727272727272724E-2</v>
      </c>
      <c r="H52" s="95">
        <f t="shared" si="11"/>
        <v>-5.7971014492753624E-2</v>
      </c>
      <c r="I52" s="95">
        <f t="shared" si="11"/>
        <v>-7.792207792207792E-2</v>
      </c>
    </row>
    <row r="53" spans="2:9">
      <c r="B53" s="71" t="s">
        <v>100</v>
      </c>
      <c r="C53" s="100"/>
      <c r="D53" s="100"/>
      <c r="E53" s="105">
        <f>E15/E$8</f>
        <v>-4.8148148148148148E-2</v>
      </c>
      <c r="F53" s="105">
        <f>F15/F$8</f>
        <v>-3.6111111111111108E-2</v>
      </c>
      <c r="G53" s="95">
        <f>G15/G$8</f>
        <v>-4.7272727272727272E-2</v>
      </c>
      <c r="H53" s="95">
        <f>H15/H$8</f>
        <v>-3.7681159420289857E-2</v>
      </c>
      <c r="I53" s="95">
        <f>I15/I$8</f>
        <v>-6.7532467532467527E-2</v>
      </c>
    </row>
    <row r="54" spans="2:9">
      <c r="B54" s="71" t="s">
        <v>188</v>
      </c>
      <c r="C54" s="99"/>
      <c r="D54" s="99"/>
      <c r="E54" s="99"/>
      <c r="F54" s="99"/>
      <c r="G54" s="94"/>
      <c r="H54" s="96">
        <f>H16/H$8</f>
        <v>-4.3478260869565216E-2</v>
      </c>
      <c r="I54" s="96">
        <f>I16/I$8</f>
        <v>-7.792207792207792E-2</v>
      </c>
    </row>
    <row r="55" spans="2:9">
      <c r="B55" s="71"/>
      <c r="C55" s="100"/>
      <c r="D55" s="100"/>
      <c r="E55" s="100"/>
      <c r="F55" s="100"/>
      <c r="G55" s="93"/>
      <c r="H55" s="93"/>
      <c r="I55" s="93"/>
    </row>
    <row r="56" spans="2:9">
      <c r="B56" s="71" t="s">
        <v>181</v>
      </c>
      <c r="C56" s="105">
        <f t="shared" ref="C56:I56" si="12">C18/C$8</f>
        <v>0.16666666666666666</v>
      </c>
      <c r="D56" s="105">
        <f t="shared" si="12"/>
        <v>0.18181818181818182</v>
      </c>
      <c r="E56" s="105">
        <f t="shared" si="12"/>
        <v>0.13703703703703704</v>
      </c>
      <c r="F56" s="105">
        <f t="shared" si="12"/>
        <v>0.18611111111111112</v>
      </c>
      <c r="G56" s="95">
        <f t="shared" si="12"/>
        <v>0.15272727272727274</v>
      </c>
      <c r="H56" s="95">
        <f t="shared" si="12"/>
        <v>0.13623188405797101</v>
      </c>
      <c r="I56" s="95">
        <f t="shared" si="12"/>
        <v>4.9350649350649353E-2</v>
      </c>
    </row>
    <row r="57" spans="2:9">
      <c r="B57" s="71" t="s">
        <v>161</v>
      </c>
      <c r="C57" s="106"/>
      <c r="D57" s="106"/>
      <c r="E57" s="106"/>
      <c r="F57" s="106"/>
      <c r="G57" s="96">
        <f>G19/G$8</f>
        <v>-0.14545454545454545</v>
      </c>
      <c r="H57" s="96"/>
      <c r="I57" s="96"/>
    </row>
    <row r="58" spans="2:9">
      <c r="B58" s="71"/>
      <c r="C58" s="105"/>
      <c r="D58" s="105"/>
      <c r="E58" s="105"/>
      <c r="F58" s="105"/>
      <c r="G58" s="95"/>
      <c r="H58" s="95"/>
      <c r="I58" s="95"/>
    </row>
    <row r="59" spans="2:9">
      <c r="B59" s="71" t="s">
        <v>186</v>
      </c>
      <c r="C59" s="105">
        <f>C56+C57</f>
        <v>0.16666666666666666</v>
      </c>
      <c r="D59" s="105">
        <f t="shared" ref="D59:H59" si="13">D56+D57</f>
        <v>0.18181818181818182</v>
      </c>
      <c r="E59" s="105">
        <f t="shared" si="13"/>
        <v>0.13703703703703704</v>
      </c>
      <c r="F59" s="105">
        <f t="shared" si="13"/>
        <v>0.18611111111111112</v>
      </c>
      <c r="G59" s="107">
        <f t="shared" si="13"/>
        <v>7.2727272727272918E-3</v>
      </c>
      <c r="H59" s="107">
        <f t="shared" si="13"/>
        <v>0.13623188405797101</v>
      </c>
      <c r="I59" s="107">
        <f t="shared" ref="I59" si="14">I56+I57</f>
        <v>4.9350649350649353E-2</v>
      </c>
    </row>
    <row r="60" spans="2:9">
      <c r="B60" s="71"/>
      <c r="C60" s="100"/>
      <c r="D60" s="100"/>
      <c r="E60" s="100"/>
      <c r="F60" s="100"/>
      <c r="G60" s="93"/>
      <c r="H60" s="93"/>
      <c r="I60" s="93"/>
    </row>
    <row r="61" spans="2:9">
      <c r="B61" s="71" t="s">
        <v>141</v>
      </c>
      <c r="C61" s="106">
        <f t="shared" ref="C61:I61" si="15">C23/C$8</f>
        <v>-3.3333333333333333E-2</v>
      </c>
      <c r="D61" s="106">
        <f t="shared" si="15"/>
        <v>-3.6363636363636362E-2</v>
      </c>
      <c r="E61" s="106">
        <f t="shared" si="15"/>
        <v>-2.7407407407407408E-2</v>
      </c>
      <c r="F61" s="106">
        <f t="shared" si="15"/>
        <v>-3.7222222222222219E-2</v>
      </c>
      <c r="G61" s="96">
        <f t="shared" si="15"/>
        <v>-1.4545454545454545E-3</v>
      </c>
      <c r="H61" s="96">
        <f t="shared" si="15"/>
        <v>-2.7246376811594204E-2</v>
      </c>
      <c r="I61" s="96">
        <f t="shared" si="15"/>
        <v>-9.870129870129871E-3</v>
      </c>
    </row>
    <row r="62" spans="2:9">
      <c r="B62" s="71"/>
      <c r="C62" s="100"/>
      <c r="D62" s="100"/>
      <c r="E62" s="100"/>
      <c r="F62" s="100"/>
      <c r="G62" s="93"/>
      <c r="H62" s="93"/>
      <c r="I62" s="93"/>
    </row>
    <row r="63" spans="2:9">
      <c r="B63" s="71" t="s">
        <v>142</v>
      </c>
      <c r="C63" s="105">
        <f t="shared" ref="C63:I63" si="16">C25/C$8</f>
        <v>0.13333333333333333</v>
      </c>
      <c r="D63" s="105">
        <f t="shared" si="16"/>
        <v>0.14545454545454545</v>
      </c>
      <c r="E63" s="105">
        <f t="shared" si="16"/>
        <v>0.10962962962962963</v>
      </c>
      <c r="F63" s="105">
        <f t="shared" si="16"/>
        <v>0.14888888888888888</v>
      </c>
      <c r="G63" s="95">
        <f t="shared" si="16"/>
        <v>5.8181818181818178E-3</v>
      </c>
      <c r="H63" s="95">
        <f t="shared" si="16"/>
        <v>0.10898550724637682</v>
      </c>
      <c r="I63" s="95">
        <f t="shared" si="16"/>
        <v>3.9480519480519484E-2</v>
      </c>
    </row>
    <row r="64" spans="2:9">
      <c r="B64" s="53"/>
      <c r="C64" s="104"/>
      <c r="D64" s="104"/>
      <c r="E64" s="104"/>
      <c r="F64" s="104"/>
      <c r="G64" s="92"/>
      <c r="H64" s="92"/>
      <c r="I64" s="92"/>
    </row>
    <row r="80" spans="2:9" s="75" customFormat="1">
      <c r="B80" s="86"/>
      <c r="C80" s="97"/>
      <c r="D80" s="97"/>
      <c r="E80" s="97"/>
      <c r="F80" s="97"/>
      <c r="G80" s="86"/>
      <c r="H80" s="86"/>
      <c r="I80" s="86"/>
    </row>
    <row r="81" spans="2:9" s="75" customFormat="1" ht="19">
      <c r="B81" s="80" t="s">
        <v>152</v>
      </c>
      <c r="C81" s="103" t="s">
        <v>147</v>
      </c>
      <c r="D81" s="103" t="s">
        <v>148</v>
      </c>
      <c r="E81" s="103" t="s">
        <v>149</v>
      </c>
      <c r="F81" s="103" t="s">
        <v>150</v>
      </c>
      <c r="G81" s="70" t="s">
        <v>171</v>
      </c>
      <c r="H81" s="70" t="s">
        <v>190</v>
      </c>
      <c r="I81" s="70" t="s">
        <v>192</v>
      </c>
    </row>
    <row r="82" spans="2:9" s="75" customFormat="1">
      <c r="B82" s="72"/>
      <c r="C82" s="99"/>
      <c r="D82" s="99"/>
      <c r="E82" s="99"/>
      <c r="F82" s="99"/>
      <c r="G82" s="72"/>
      <c r="H82" s="72"/>
      <c r="I82" s="72"/>
    </row>
    <row r="83" spans="2:9" s="75" customFormat="1">
      <c r="B83" s="86"/>
      <c r="C83" s="97"/>
      <c r="D83" s="97"/>
      <c r="E83" s="97"/>
      <c r="F83" s="97"/>
      <c r="G83" s="86"/>
      <c r="H83" s="86"/>
      <c r="I83" s="86"/>
    </row>
    <row r="84" spans="2:9" s="75" customFormat="1">
      <c r="B84" s="71" t="s">
        <v>127</v>
      </c>
      <c r="C84" s="100">
        <v>0</v>
      </c>
      <c r="D84" s="100">
        <v>0</v>
      </c>
      <c r="E84" s="100">
        <f>'November-1'!C52</f>
        <v>10000</v>
      </c>
      <c r="F84" s="100">
        <f>'December-1'!C65</f>
        <v>12000</v>
      </c>
      <c r="G84" s="71">
        <f>'January-2'!C73</f>
        <v>4000</v>
      </c>
      <c r="H84" s="71">
        <f>'February-2'!C65</f>
        <v>9000</v>
      </c>
      <c r="I84" s="71">
        <f>'March-2'!C65</f>
        <v>8000</v>
      </c>
    </row>
    <row r="85" spans="2:9" s="75" customFormat="1">
      <c r="B85" s="71"/>
      <c r="C85" s="100"/>
      <c r="D85" s="100"/>
      <c r="E85" s="100"/>
      <c r="F85" s="100"/>
      <c r="G85" s="71"/>
      <c r="H85" s="71"/>
      <c r="I85" s="71"/>
    </row>
    <row r="86" spans="2:9" s="75" customFormat="1">
      <c r="B86" s="71" t="s">
        <v>153</v>
      </c>
      <c r="C86" s="100">
        <v>0</v>
      </c>
      <c r="D86" s="100">
        <f>'October-1'!C43</f>
        <v>5000</v>
      </c>
      <c r="E86" s="100">
        <f>'November-1'!C54</f>
        <v>15000</v>
      </c>
      <c r="F86" s="100">
        <f>'December-1'!C67</f>
        <v>15000</v>
      </c>
      <c r="G86" s="71">
        <f>'January-2'!C75</f>
        <v>12500</v>
      </c>
      <c r="H86" s="71">
        <f>'February-2'!C67</f>
        <v>15000</v>
      </c>
      <c r="I86" s="71">
        <f>'March-2'!C67</f>
        <v>17500</v>
      </c>
    </row>
    <row r="87" spans="2:9" s="75" customFormat="1">
      <c r="B87" s="71"/>
      <c r="C87" s="100"/>
      <c r="D87" s="100"/>
      <c r="E87" s="100"/>
      <c r="F87" s="100"/>
      <c r="G87" s="71"/>
      <c r="H87" s="71"/>
      <c r="I87" s="71"/>
    </row>
    <row r="88" spans="2:9" s="75" customFormat="1">
      <c r="B88" s="71" t="s">
        <v>154</v>
      </c>
      <c r="C88" s="100">
        <v>0</v>
      </c>
      <c r="D88" s="100">
        <f>-'October-1'!E45</f>
        <v>-4000</v>
      </c>
      <c r="E88" s="100">
        <f>-'November-1'!E56</f>
        <v>-15000</v>
      </c>
      <c r="F88" s="100">
        <f>-'December-1'!E70</f>
        <v>-14000</v>
      </c>
      <c r="G88" s="71">
        <f>-'January-2'!E78</f>
        <v>-8000</v>
      </c>
      <c r="H88" s="71">
        <f>-'February-2'!E70</f>
        <v>-15000</v>
      </c>
      <c r="I88" s="71">
        <f>-'March-2'!E70</f>
        <v>-13500</v>
      </c>
    </row>
    <row r="89" spans="2:9" s="75" customFormat="1">
      <c r="B89" s="71"/>
      <c r="C89" s="99"/>
      <c r="D89" s="99"/>
      <c r="E89" s="99"/>
      <c r="F89" s="99"/>
      <c r="G89" s="72"/>
      <c r="H89" s="72"/>
      <c r="I89" s="72"/>
    </row>
    <row r="90" spans="2:9" s="75" customFormat="1">
      <c r="B90" s="71"/>
      <c r="C90" s="100"/>
      <c r="D90" s="100"/>
      <c r="E90" s="100"/>
      <c r="F90" s="100"/>
      <c r="G90" s="71"/>
      <c r="H90" s="71"/>
      <c r="I90" s="71"/>
    </row>
    <row r="91" spans="2:9" s="75" customFormat="1">
      <c r="B91" s="74" t="s">
        <v>155</v>
      </c>
      <c r="C91" s="101">
        <f>C84+C86+C88</f>
        <v>0</v>
      </c>
      <c r="D91" s="101">
        <f t="shared" ref="D91:H91" si="17">D84+D86+D88</f>
        <v>1000</v>
      </c>
      <c r="E91" s="101">
        <f t="shared" si="17"/>
        <v>10000</v>
      </c>
      <c r="F91" s="101">
        <f t="shared" si="17"/>
        <v>13000</v>
      </c>
      <c r="G91" s="74">
        <f t="shared" si="17"/>
        <v>8500</v>
      </c>
      <c r="H91" s="74">
        <f t="shared" si="17"/>
        <v>9000</v>
      </c>
      <c r="I91" s="74">
        <f t="shared" ref="I91" si="18">I84+I86+I88</f>
        <v>12000</v>
      </c>
    </row>
    <row r="92" spans="2:9" s="75" customFormat="1">
      <c r="B92" s="72"/>
      <c r="C92" s="99"/>
      <c r="D92" s="99"/>
      <c r="E92" s="99"/>
      <c r="F92" s="99"/>
      <c r="G92" s="72"/>
      <c r="H92" s="72"/>
      <c r="I92" s="7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31B7-1536-6844-9E1A-4D0CFF7834F7}">
  <dimension ref="B2:I134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33.1640625" style="46" customWidth="1"/>
    <col min="3" max="6" width="16" customWidth="1"/>
    <col min="7" max="8" width="16" style="89" customWidth="1"/>
    <col min="9" max="9" width="10.83203125" style="89"/>
  </cols>
  <sheetData>
    <row r="2" spans="2:8" ht="24">
      <c r="B2" s="155" t="s">
        <v>193</v>
      </c>
    </row>
    <row r="3" spans="2:8" ht="19">
      <c r="B3" s="108"/>
    </row>
    <row r="4" spans="2:8" ht="21">
      <c r="B4" s="148" t="s">
        <v>194</v>
      </c>
    </row>
    <row r="5" spans="2:8">
      <c r="B5"/>
    </row>
    <row r="6" spans="2:8" ht="19">
      <c r="B6" s="119"/>
      <c r="C6" s="193"/>
      <c r="D6" s="193"/>
      <c r="E6" s="193"/>
      <c r="F6" s="149"/>
      <c r="G6" s="194"/>
      <c r="H6" s="194"/>
    </row>
    <row r="7" spans="2:8" s="75" customFormat="1" ht="19">
      <c r="B7" s="150"/>
      <c r="C7" s="195" t="s">
        <v>171</v>
      </c>
      <c r="D7" s="195" t="s">
        <v>190</v>
      </c>
      <c r="E7" s="195" t="s">
        <v>192</v>
      </c>
      <c r="F7" s="151" t="s">
        <v>195</v>
      </c>
      <c r="G7" s="151" t="s">
        <v>196</v>
      </c>
      <c r="H7" s="151" t="s">
        <v>197</v>
      </c>
    </row>
    <row r="8" spans="2:8" ht="19">
      <c r="B8" s="152"/>
      <c r="C8" s="196"/>
      <c r="D8" s="196"/>
      <c r="E8" s="196"/>
      <c r="F8" s="55"/>
      <c r="G8" s="197"/>
      <c r="H8" s="197"/>
    </row>
    <row r="9" spans="2:8" ht="19">
      <c r="B9" s="151" t="s">
        <v>2</v>
      </c>
      <c r="C9" s="198">
        <f>'January-2'!F4</f>
        <v>500</v>
      </c>
      <c r="D9" s="198">
        <f>'February-2'!F4</f>
        <v>650</v>
      </c>
      <c r="E9" s="198">
        <f>'March-2'!F4</f>
        <v>700</v>
      </c>
      <c r="F9" s="153">
        <v>1000</v>
      </c>
      <c r="G9" s="153">
        <v>1100</v>
      </c>
      <c r="H9" s="153">
        <v>1400</v>
      </c>
    </row>
    <row r="10" spans="2:8" ht="19">
      <c r="B10" s="151" t="s">
        <v>3</v>
      </c>
      <c r="C10" s="199">
        <f>'January-2'!J4</f>
        <v>500</v>
      </c>
      <c r="D10" s="199">
        <f>'February-2'!J6</f>
        <v>600</v>
      </c>
      <c r="E10" s="199">
        <f>'March-2'!J6</f>
        <v>700</v>
      </c>
      <c r="F10" s="154">
        <v>900</v>
      </c>
      <c r="G10" s="154">
        <v>1100</v>
      </c>
      <c r="H10" s="154">
        <v>1500</v>
      </c>
    </row>
    <row r="11" spans="2:8" ht="15" customHeight="1">
      <c r="B11" s="151"/>
      <c r="C11" s="198"/>
      <c r="D11" s="198"/>
      <c r="E11" s="198"/>
      <c r="F11" s="153"/>
      <c r="G11" s="153"/>
      <c r="H11" s="153"/>
    </row>
    <row r="12" spans="2:8" ht="19">
      <c r="B12" s="151" t="s">
        <v>6</v>
      </c>
      <c r="C12" s="198">
        <f>SUM(C9:C10)</f>
        <v>1000</v>
      </c>
      <c r="D12" s="198">
        <f t="shared" ref="D12:H12" si="0">SUM(D9:D10)</f>
        <v>1250</v>
      </c>
      <c r="E12" s="198">
        <f t="shared" si="0"/>
        <v>1400</v>
      </c>
      <c r="F12" s="153">
        <f t="shared" si="0"/>
        <v>1900</v>
      </c>
      <c r="G12" s="153">
        <f t="shared" si="0"/>
        <v>2200</v>
      </c>
      <c r="H12" s="153">
        <f t="shared" si="0"/>
        <v>2900</v>
      </c>
    </row>
    <row r="13" spans="2:8" ht="12" customHeight="1">
      <c r="B13" s="120"/>
      <c r="C13" s="200"/>
      <c r="D13" s="200"/>
      <c r="E13" s="200"/>
      <c r="F13" s="57"/>
      <c r="G13" s="201"/>
      <c r="H13" s="201"/>
    </row>
    <row r="14" spans="2:8" ht="19">
      <c r="B14" s="121"/>
    </row>
    <row r="15" spans="2:8" ht="21">
      <c r="B15" s="148" t="s">
        <v>198</v>
      </c>
    </row>
    <row r="16" spans="2:8" ht="19">
      <c r="B16" s="108"/>
    </row>
    <row r="17" spans="2:9" ht="19">
      <c r="B17" s="202"/>
      <c r="C17" s="203"/>
      <c r="D17" s="203"/>
      <c r="E17" s="203"/>
      <c r="F17" s="203"/>
      <c r="G17" s="204"/>
      <c r="H17" s="205"/>
    </row>
    <row r="18" spans="2:9" ht="19">
      <c r="B18" s="206" t="s">
        <v>199</v>
      </c>
      <c r="C18" s="207">
        <v>60000</v>
      </c>
      <c r="D18" s="45" t="s">
        <v>204</v>
      </c>
      <c r="E18" s="226">
        <v>5</v>
      </c>
      <c r="F18" s="208" t="s">
        <v>205</v>
      </c>
      <c r="G18" s="212">
        <f>E18*12</f>
        <v>60</v>
      </c>
      <c r="H18" s="65" t="s">
        <v>227</v>
      </c>
    </row>
    <row r="19" spans="2:9" ht="19">
      <c r="B19" s="206" t="s">
        <v>200</v>
      </c>
      <c r="C19" s="209">
        <v>5000</v>
      </c>
      <c r="D19" s="45" t="s">
        <v>206</v>
      </c>
      <c r="E19" s="45"/>
      <c r="F19" s="45"/>
      <c r="G19" s="210"/>
      <c r="H19" s="211"/>
    </row>
    <row r="20" spans="2:9" ht="19">
      <c r="B20" s="206" t="s">
        <v>201</v>
      </c>
      <c r="C20" s="212">
        <v>3</v>
      </c>
      <c r="D20" s="45" t="s">
        <v>207</v>
      </c>
      <c r="E20" s="212">
        <v>6</v>
      </c>
      <c r="F20" s="208" t="s">
        <v>208</v>
      </c>
      <c r="G20" s="45"/>
      <c r="H20" s="65"/>
    </row>
    <row r="21" spans="2:9" ht="19">
      <c r="B21" s="206" t="s">
        <v>202</v>
      </c>
      <c r="C21" s="207">
        <f>ADOP</f>
        <v>1000</v>
      </c>
      <c r="D21" s="208" t="s">
        <v>226</v>
      </c>
      <c r="E21" s="45"/>
      <c r="F21" s="45"/>
      <c r="G21" s="210"/>
      <c r="H21" s="211"/>
    </row>
    <row r="22" spans="2:9" ht="19">
      <c r="B22" s="206" t="s">
        <v>203</v>
      </c>
      <c r="C22" s="212">
        <v>16</v>
      </c>
      <c r="D22" s="45" t="s">
        <v>209</v>
      </c>
      <c r="E22" s="210"/>
      <c r="F22" s="301" t="s">
        <v>49</v>
      </c>
      <c r="G22" s="301" t="s">
        <v>42</v>
      </c>
      <c r="H22" s="211"/>
    </row>
    <row r="23" spans="2:9" ht="19">
      <c r="B23" s="213"/>
      <c r="C23" s="214"/>
      <c r="D23" s="214"/>
      <c r="E23" s="214"/>
      <c r="F23" s="214"/>
      <c r="G23" s="215"/>
      <c r="H23" s="216"/>
    </row>
    <row r="25" spans="2:9" ht="22">
      <c r="B25" s="222" t="s">
        <v>210</v>
      </c>
    </row>
    <row r="26" spans="2:9" ht="19">
      <c r="B26" s="108"/>
    </row>
    <row r="27" spans="2:9" ht="19">
      <c r="B27" s="217"/>
      <c r="C27" s="217"/>
      <c r="D27" s="217"/>
      <c r="E27" s="217"/>
      <c r="F27" s="217"/>
      <c r="G27" s="217"/>
      <c r="H27" s="217"/>
      <c r="I27"/>
    </row>
    <row r="28" spans="2:9" s="109" customFormat="1" ht="24" customHeight="1">
      <c r="B28" s="218" t="s">
        <v>211</v>
      </c>
      <c r="C28" s="219" t="s">
        <v>212</v>
      </c>
      <c r="D28" s="219" t="s">
        <v>213</v>
      </c>
      <c r="E28" s="219" t="s">
        <v>214</v>
      </c>
      <c r="F28" s="219" t="s">
        <v>215</v>
      </c>
      <c r="G28" s="219" t="s">
        <v>216</v>
      </c>
      <c r="H28" s="219" t="s">
        <v>217</v>
      </c>
      <c r="I28"/>
    </row>
    <row r="29" spans="2:9" ht="19">
      <c r="B29" s="58"/>
      <c r="C29" s="58"/>
      <c r="D29" s="58"/>
      <c r="E29" s="58"/>
      <c r="F29" s="58"/>
      <c r="G29" s="58"/>
      <c r="H29" s="58"/>
      <c r="I29"/>
    </row>
    <row r="30" spans="2:9" ht="19">
      <c r="B30" s="217"/>
      <c r="C30" s="217"/>
      <c r="D30" s="217"/>
      <c r="E30" s="217"/>
      <c r="F30" s="217"/>
      <c r="G30" s="217"/>
      <c r="H30" s="217"/>
      <c r="I30"/>
    </row>
    <row r="31" spans="2:9" ht="19">
      <c r="B31" s="220">
        <v>1000</v>
      </c>
      <c r="C31" s="220">
        <f>C18/G18</f>
        <v>1000</v>
      </c>
      <c r="D31" s="220">
        <f>C$20*ADOP</f>
        <v>3000</v>
      </c>
      <c r="E31" s="220">
        <f>C31+D31</f>
        <v>4000</v>
      </c>
      <c r="F31" s="220">
        <f t="shared" ref="F31:F37" si="1">B31*CMP</f>
        <v>16000</v>
      </c>
      <c r="G31" s="220">
        <f>E31+F31</f>
        <v>20000</v>
      </c>
      <c r="H31" s="221">
        <f>G31/B31</f>
        <v>20</v>
      </c>
      <c r="I31"/>
    </row>
    <row r="32" spans="2:9" ht="19">
      <c r="B32" s="220">
        <f>B31+500</f>
        <v>1500</v>
      </c>
      <c r="C32" s="220">
        <f>C31</f>
        <v>1000</v>
      </c>
      <c r="D32" s="220">
        <f>C$20*ADOP</f>
        <v>3000</v>
      </c>
      <c r="E32" s="220">
        <f t="shared" ref="E32:E37" si="2">C32+D32</f>
        <v>4000</v>
      </c>
      <c r="F32" s="220">
        <f t="shared" si="1"/>
        <v>24000</v>
      </c>
      <c r="G32" s="220">
        <f t="shared" ref="G32:G37" si="3">E32+F32</f>
        <v>28000</v>
      </c>
      <c r="H32" s="221">
        <f t="shared" ref="H32:H37" si="4">G32/B32</f>
        <v>18.666666666666668</v>
      </c>
      <c r="I32"/>
    </row>
    <row r="33" spans="2:9" ht="19">
      <c r="B33" s="220">
        <f t="shared" ref="B33:B37" si="5">B32+500</f>
        <v>2000</v>
      </c>
      <c r="C33" s="220">
        <f t="shared" ref="C33:C37" si="6">C32</f>
        <v>1000</v>
      </c>
      <c r="D33" s="220">
        <f>C$20*ADOP</f>
        <v>3000</v>
      </c>
      <c r="E33" s="220">
        <f t="shared" si="2"/>
        <v>4000</v>
      </c>
      <c r="F33" s="220">
        <f t="shared" si="1"/>
        <v>32000</v>
      </c>
      <c r="G33" s="220">
        <f t="shared" si="3"/>
        <v>36000</v>
      </c>
      <c r="H33" s="221">
        <f t="shared" si="4"/>
        <v>18</v>
      </c>
      <c r="I33"/>
    </row>
    <row r="34" spans="2:9" ht="19">
      <c r="B34" s="220">
        <f t="shared" si="5"/>
        <v>2500</v>
      </c>
      <c r="C34" s="220">
        <f t="shared" si="6"/>
        <v>1000</v>
      </c>
      <c r="D34" s="220">
        <f>E$20*ADOP</f>
        <v>6000</v>
      </c>
      <c r="E34" s="220">
        <f t="shared" si="2"/>
        <v>7000</v>
      </c>
      <c r="F34" s="220">
        <f t="shared" si="1"/>
        <v>40000</v>
      </c>
      <c r="G34" s="220">
        <f t="shared" si="3"/>
        <v>47000</v>
      </c>
      <c r="H34" s="221">
        <f t="shared" si="4"/>
        <v>18.8</v>
      </c>
      <c r="I34"/>
    </row>
    <row r="35" spans="2:9" ht="19">
      <c r="B35" s="220">
        <f t="shared" si="5"/>
        <v>3000</v>
      </c>
      <c r="C35" s="220">
        <f t="shared" si="6"/>
        <v>1000</v>
      </c>
      <c r="D35" s="220">
        <f>E$20*ADOP</f>
        <v>6000</v>
      </c>
      <c r="E35" s="220">
        <f t="shared" si="2"/>
        <v>7000</v>
      </c>
      <c r="F35" s="220">
        <f t="shared" si="1"/>
        <v>48000</v>
      </c>
      <c r="G35" s="220">
        <f t="shared" si="3"/>
        <v>55000</v>
      </c>
      <c r="H35" s="221">
        <f t="shared" si="4"/>
        <v>18.333333333333332</v>
      </c>
      <c r="I35"/>
    </row>
    <row r="36" spans="2:9" ht="19">
      <c r="B36" s="220">
        <f t="shared" si="5"/>
        <v>3500</v>
      </c>
      <c r="C36" s="220">
        <f t="shared" si="6"/>
        <v>1000</v>
      </c>
      <c r="D36" s="220">
        <f>E$20*ADOP</f>
        <v>6000</v>
      </c>
      <c r="E36" s="220">
        <f t="shared" si="2"/>
        <v>7000</v>
      </c>
      <c r="F36" s="220">
        <f t="shared" si="1"/>
        <v>56000</v>
      </c>
      <c r="G36" s="220">
        <f t="shared" si="3"/>
        <v>63000</v>
      </c>
      <c r="H36" s="221">
        <f t="shared" si="4"/>
        <v>18</v>
      </c>
      <c r="I36"/>
    </row>
    <row r="37" spans="2:9" ht="19">
      <c r="B37" s="220">
        <f t="shared" si="5"/>
        <v>4000</v>
      </c>
      <c r="C37" s="220">
        <f t="shared" si="6"/>
        <v>1000</v>
      </c>
      <c r="D37" s="220">
        <f>E$20*ADOP</f>
        <v>6000</v>
      </c>
      <c r="E37" s="220">
        <f t="shared" si="2"/>
        <v>7000</v>
      </c>
      <c r="F37" s="220">
        <f t="shared" si="1"/>
        <v>64000</v>
      </c>
      <c r="G37" s="220">
        <f t="shared" si="3"/>
        <v>71000</v>
      </c>
      <c r="H37" s="221">
        <f t="shared" si="4"/>
        <v>17.75</v>
      </c>
      <c r="I37"/>
    </row>
    <row r="38" spans="2:9" ht="19">
      <c r="B38" s="58"/>
      <c r="C38" s="58"/>
      <c r="D38" s="58"/>
      <c r="E38" s="58"/>
      <c r="F38" s="58"/>
      <c r="G38" s="58"/>
      <c r="H38" s="58"/>
      <c r="I38"/>
    </row>
    <row r="55" spans="2:9" ht="22">
      <c r="B55" s="222" t="s">
        <v>218</v>
      </c>
    </row>
    <row r="56" spans="2:9" ht="19">
      <c r="B56" s="108"/>
    </row>
    <row r="57" spans="2:9" ht="19">
      <c r="B57" s="217"/>
      <c r="C57" s="217"/>
      <c r="D57" s="217"/>
      <c r="E57" s="217"/>
      <c r="F57" s="217"/>
      <c r="G57" s="217"/>
      <c r="H57" s="217"/>
      <c r="I57" s="217"/>
    </row>
    <row r="58" spans="2:9" ht="53" customHeight="1">
      <c r="B58" s="218" t="s">
        <v>211</v>
      </c>
      <c r="C58" s="219" t="s">
        <v>219</v>
      </c>
      <c r="D58" s="219" t="s">
        <v>220</v>
      </c>
      <c r="E58" s="219" t="s">
        <v>221</v>
      </c>
      <c r="F58" s="219" t="s">
        <v>222</v>
      </c>
      <c r="G58" s="219" t="s">
        <v>223</v>
      </c>
      <c r="H58" s="219" t="s">
        <v>224</v>
      </c>
      <c r="I58" s="219" t="s">
        <v>225</v>
      </c>
    </row>
    <row r="59" spans="2:9" ht="12" customHeight="1">
      <c r="B59" s="58"/>
      <c r="C59" s="58"/>
      <c r="D59" s="58"/>
      <c r="E59" s="58"/>
      <c r="F59" s="58"/>
      <c r="G59" s="58"/>
      <c r="H59" s="58"/>
      <c r="I59" s="58"/>
    </row>
    <row r="60" spans="2:9" ht="19">
      <c r="B60" s="217"/>
      <c r="C60" s="217"/>
      <c r="D60" s="217"/>
      <c r="E60" s="217"/>
      <c r="F60" s="217"/>
      <c r="G60" s="217"/>
      <c r="H60" s="217"/>
      <c r="I60" s="217"/>
    </row>
    <row r="61" spans="2:9" ht="19">
      <c r="B61" s="220">
        <v>1000</v>
      </c>
      <c r="C61" s="221">
        <f t="shared" ref="C61:C67" si="7">H31</f>
        <v>20</v>
      </c>
      <c r="D61" s="220">
        <f t="shared" ref="D61:D67" si="8">PAP</f>
        <v>20</v>
      </c>
      <c r="E61" s="221">
        <f>D61-C61</f>
        <v>0</v>
      </c>
      <c r="F61" s="221">
        <f t="shared" ref="F61:F67" si="9">(D31+F31)/B61</f>
        <v>19</v>
      </c>
      <c r="G61" s="221">
        <f>D61-F61</f>
        <v>1</v>
      </c>
      <c r="H61" s="220">
        <f>G61*B61</f>
        <v>1000</v>
      </c>
      <c r="I61" s="221">
        <f t="shared" ref="I61:I67" si="10">C$18/(G61*B61)</f>
        <v>60</v>
      </c>
    </row>
    <row r="62" spans="2:9" ht="19">
      <c r="B62" s="220">
        <f>B61+500</f>
        <v>1500</v>
      </c>
      <c r="C62" s="221">
        <f t="shared" si="7"/>
        <v>18.666666666666668</v>
      </c>
      <c r="D62" s="220">
        <f t="shared" si="8"/>
        <v>20</v>
      </c>
      <c r="E62" s="221">
        <f t="shared" ref="E62:E67" si="11">D62-C62</f>
        <v>1.3333333333333321</v>
      </c>
      <c r="F62" s="221">
        <f t="shared" si="9"/>
        <v>18</v>
      </c>
      <c r="G62" s="221">
        <f t="shared" ref="G62:G67" si="12">D62-F62</f>
        <v>2</v>
      </c>
      <c r="H62" s="220">
        <f t="shared" ref="H62:H67" si="13">G62*B62</f>
        <v>3000</v>
      </c>
      <c r="I62" s="221">
        <f t="shared" si="10"/>
        <v>20</v>
      </c>
    </row>
    <row r="63" spans="2:9" ht="19">
      <c r="B63" s="220">
        <f t="shared" ref="B63:B67" si="14">B62+500</f>
        <v>2000</v>
      </c>
      <c r="C63" s="221">
        <f t="shared" si="7"/>
        <v>18</v>
      </c>
      <c r="D63" s="220">
        <f t="shared" si="8"/>
        <v>20</v>
      </c>
      <c r="E63" s="221">
        <f t="shared" si="11"/>
        <v>2</v>
      </c>
      <c r="F63" s="221">
        <f t="shared" si="9"/>
        <v>17.5</v>
      </c>
      <c r="G63" s="221">
        <f t="shared" si="12"/>
        <v>2.5</v>
      </c>
      <c r="H63" s="220">
        <f t="shared" si="13"/>
        <v>5000</v>
      </c>
      <c r="I63" s="221">
        <f t="shared" si="10"/>
        <v>12</v>
      </c>
    </row>
    <row r="64" spans="2:9" ht="19">
      <c r="B64" s="220">
        <f t="shared" si="14"/>
        <v>2500</v>
      </c>
      <c r="C64" s="221">
        <f t="shared" si="7"/>
        <v>18.8</v>
      </c>
      <c r="D64" s="220">
        <f t="shared" si="8"/>
        <v>20</v>
      </c>
      <c r="E64" s="221">
        <f t="shared" si="11"/>
        <v>1.1999999999999993</v>
      </c>
      <c r="F64" s="221">
        <f t="shared" si="9"/>
        <v>18.399999999999999</v>
      </c>
      <c r="G64" s="221">
        <f t="shared" si="12"/>
        <v>1.6000000000000014</v>
      </c>
      <c r="H64" s="220">
        <f t="shared" si="13"/>
        <v>4000.0000000000036</v>
      </c>
      <c r="I64" s="221">
        <f t="shared" si="10"/>
        <v>14.999999999999986</v>
      </c>
    </row>
    <row r="65" spans="2:9" ht="19">
      <c r="B65" s="220">
        <f t="shared" si="14"/>
        <v>3000</v>
      </c>
      <c r="C65" s="221">
        <f t="shared" si="7"/>
        <v>18.333333333333332</v>
      </c>
      <c r="D65" s="220">
        <f t="shared" si="8"/>
        <v>20</v>
      </c>
      <c r="E65" s="221">
        <f t="shared" si="11"/>
        <v>1.6666666666666679</v>
      </c>
      <c r="F65" s="221">
        <f t="shared" si="9"/>
        <v>18</v>
      </c>
      <c r="G65" s="221">
        <f t="shared" si="12"/>
        <v>2</v>
      </c>
      <c r="H65" s="220">
        <f t="shared" si="13"/>
        <v>6000</v>
      </c>
      <c r="I65" s="221">
        <f t="shared" si="10"/>
        <v>10</v>
      </c>
    </row>
    <row r="66" spans="2:9" ht="19">
      <c r="B66" s="220">
        <f t="shared" si="14"/>
        <v>3500</v>
      </c>
      <c r="C66" s="221">
        <f t="shared" si="7"/>
        <v>18</v>
      </c>
      <c r="D66" s="220">
        <f t="shared" si="8"/>
        <v>20</v>
      </c>
      <c r="E66" s="221">
        <f t="shared" si="11"/>
        <v>2</v>
      </c>
      <c r="F66" s="221">
        <f t="shared" si="9"/>
        <v>17.714285714285715</v>
      </c>
      <c r="G66" s="221">
        <f t="shared" si="12"/>
        <v>2.2857142857142847</v>
      </c>
      <c r="H66" s="220">
        <f t="shared" si="13"/>
        <v>7999.9999999999964</v>
      </c>
      <c r="I66" s="221">
        <f t="shared" si="10"/>
        <v>7.5000000000000036</v>
      </c>
    </row>
    <row r="67" spans="2:9" ht="19">
      <c r="B67" s="220">
        <f t="shared" si="14"/>
        <v>4000</v>
      </c>
      <c r="C67" s="221">
        <f t="shared" si="7"/>
        <v>17.75</v>
      </c>
      <c r="D67" s="220">
        <f t="shared" si="8"/>
        <v>20</v>
      </c>
      <c r="E67" s="221">
        <f t="shared" si="11"/>
        <v>2.25</v>
      </c>
      <c r="F67" s="221">
        <f t="shared" si="9"/>
        <v>17.5</v>
      </c>
      <c r="G67" s="221">
        <f t="shared" si="12"/>
        <v>2.5</v>
      </c>
      <c r="H67" s="220">
        <f t="shared" si="13"/>
        <v>10000</v>
      </c>
      <c r="I67" s="221">
        <f t="shared" si="10"/>
        <v>6</v>
      </c>
    </row>
    <row r="68" spans="2:9" ht="19">
      <c r="B68" s="58"/>
      <c r="C68" s="58"/>
      <c r="D68" s="58"/>
      <c r="E68" s="58"/>
      <c r="F68" s="58"/>
      <c r="G68" s="58"/>
      <c r="H68" s="58"/>
      <c r="I68" s="58"/>
    </row>
    <row r="69" spans="2:9">
      <c r="B69"/>
      <c r="G69"/>
      <c r="H69"/>
      <c r="I69"/>
    </row>
    <row r="70" spans="2:9">
      <c r="B70"/>
      <c r="G70"/>
      <c r="H70"/>
      <c r="I70"/>
    </row>
    <row r="71" spans="2:9" ht="22">
      <c r="B71" s="222" t="s">
        <v>228</v>
      </c>
      <c r="G71"/>
      <c r="H71"/>
      <c r="I71"/>
    </row>
    <row r="72" spans="2:9" ht="19">
      <c r="B72" s="110"/>
      <c r="G72"/>
      <c r="H72"/>
      <c r="I72"/>
    </row>
    <row r="73" spans="2:9" ht="19">
      <c r="B73" s="149"/>
      <c r="C73" s="149"/>
      <c r="G73"/>
      <c r="H73"/>
      <c r="I73"/>
    </row>
    <row r="74" spans="2:9" ht="19">
      <c r="B74" s="224" t="s">
        <v>199</v>
      </c>
      <c r="C74" s="225">
        <f>C18</f>
        <v>60000</v>
      </c>
      <c r="G74"/>
      <c r="H74"/>
      <c r="I74"/>
    </row>
    <row r="75" spans="2:9" ht="19">
      <c r="B75" s="55"/>
      <c r="C75" s="55"/>
      <c r="G75"/>
      <c r="H75"/>
      <c r="I75"/>
    </row>
    <row r="76" spans="2:9" ht="19">
      <c r="B76" s="55" t="s">
        <v>229</v>
      </c>
      <c r="C76" s="153">
        <v>48000</v>
      </c>
      <c r="D76" s="124"/>
      <c r="I76"/>
    </row>
    <row r="77" spans="2:9" ht="19">
      <c r="B77" s="55"/>
      <c r="C77" s="153"/>
      <c r="D77" s="124"/>
      <c r="F77" s="125"/>
      <c r="G77"/>
      <c r="H77"/>
      <c r="I77"/>
    </row>
    <row r="78" spans="2:9" ht="19">
      <c r="B78" s="55" t="s">
        <v>230</v>
      </c>
      <c r="C78" s="223">
        <v>0.06</v>
      </c>
      <c r="F78" s="125"/>
      <c r="G78"/>
      <c r="H78"/>
      <c r="I78"/>
    </row>
    <row r="79" spans="2:9" ht="19">
      <c r="B79" s="55"/>
      <c r="C79" s="223"/>
      <c r="F79" s="125"/>
      <c r="G79"/>
      <c r="H79"/>
      <c r="I79"/>
    </row>
    <row r="80" spans="2:9" ht="19">
      <c r="B80" s="55" t="s">
        <v>231</v>
      </c>
      <c r="C80" s="333" t="s">
        <v>45</v>
      </c>
      <c r="F80" s="125"/>
      <c r="G80"/>
      <c r="H80"/>
      <c r="I80"/>
    </row>
    <row r="81" spans="2:6" customFormat="1" ht="19">
      <c r="B81" s="55"/>
      <c r="C81" s="56"/>
      <c r="D81" s="124"/>
      <c r="F81" s="125"/>
    </row>
    <row r="82" spans="2:6" customFormat="1" ht="19">
      <c r="B82" s="55" t="s">
        <v>232</v>
      </c>
      <c r="C82" s="56">
        <f>C76*C78/12</f>
        <v>240</v>
      </c>
      <c r="D82" s="124"/>
      <c r="F82" s="125"/>
    </row>
    <row r="83" spans="2:6" customFormat="1" ht="19">
      <c r="B83" s="55"/>
      <c r="C83" s="56"/>
    </row>
    <row r="84" spans="2:6" customFormat="1" ht="19">
      <c r="B84" s="55" t="s">
        <v>63</v>
      </c>
      <c r="C84" s="153">
        <f>C74-C76</f>
        <v>12000</v>
      </c>
    </row>
    <row r="85" spans="2:6" customFormat="1" ht="19">
      <c r="B85" s="57"/>
      <c r="C85" s="57"/>
    </row>
    <row r="86" spans="2:6" customFormat="1"/>
    <row r="87" spans="2:6" customFormat="1"/>
    <row r="88" spans="2:6" customFormat="1"/>
    <row r="89" spans="2:6" customFormat="1"/>
    <row r="90" spans="2:6" customFormat="1"/>
    <row r="91" spans="2:6" customFormat="1"/>
    <row r="92" spans="2:6" customFormat="1"/>
    <row r="93" spans="2:6" customFormat="1"/>
    <row r="94" spans="2:6" customFormat="1"/>
    <row r="95" spans="2:6" customFormat="1"/>
    <row r="96" spans="2: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</sheetData>
  <pageMargins left="0.7" right="0.7" top="0.75" bottom="0.75" header="0.3" footer="0.3"/>
  <ignoredErrors>
    <ignoredError sqref="F31:F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CBFC-2CA9-C144-ADAB-ABFCA28E88CE}">
  <dimension ref="B2:M135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0.83203125" style="1" customWidth="1"/>
    <col min="3" max="3" width="23.5" style="1" customWidth="1"/>
    <col min="4" max="4" width="24.33203125" style="1" customWidth="1"/>
    <col min="5" max="5" width="8.5" style="1" customWidth="1"/>
    <col min="6" max="6" width="13.83203125" style="2" customWidth="1"/>
    <col min="7" max="7" width="9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7" t="s">
        <v>233</v>
      </c>
    </row>
    <row r="3" spans="2:12" ht="19">
      <c r="B3" s="304" t="s">
        <v>115</v>
      </c>
      <c r="C3" s="83" t="s">
        <v>116</v>
      </c>
      <c r="D3" s="83" t="s">
        <v>117</v>
      </c>
    </row>
    <row r="4" spans="2:12" ht="11" customHeight="1">
      <c r="C4" s="72"/>
      <c r="D4" s="72"/>
      <c r="F4" s="320"/>
      <c r="G4" s="48"/>
      <c r="H4" s="48"/>
      <c r="I4" s="4"/>
      <c r="J4" s="3"/>
      <c r="K4" s="48"/>
      <c r="L4" s="4"/>
    </row>
    <row r="5" spans="2:12">
      <c r="B5" s="86"/>
      <c r="C5" s="71"/>
      <c r="D5" s="71"/>
      <c r="F5" s="177" t="s">
        <v>234</v>
      </c>
      <c r="I5" s="10"/>
      <c r="J5" s="9"/>
      <c r="K5" s="1">
        <f>'Investment project Q2'!G12</f>
        <v>2200</v>
      </c>
      <c r="L5" s="10"/>
    </row>
    <row r="6" spans="2:12">
      <c r="B6" s="71" t="s">
        <v>259</v>
      </c>
      <c r="C6" s="83">
        <v>1</v>
      </c>
      <c r="D6" s="83">
        <f>MAN</f>
        <v>2000</v>
      </c>
      <c r="F6" s="9"/>
      <c r="I6" s="10"/>
      <c r="J6" s="9"/>
      <c r="L6" s="10"/>
    </row>
    <row r="7" spans="2:12">
      <c r="B7" s="71"/>
      <c r="C7" s="83"/>
      <c r="D7" s="83"/>
      <c r="F7" s="177" t="s">
        <v>270</v>
      </c>
      <c r="I7" s="321">
        <v>0.25</v>
      </c>
      <c r="J7" s="9"/>
      <c r="K7" s="1">
        <f>K5*I7</f>
        <v>550</v>
      </c>
      <c r="L7" s="10"/>
    </row>
    <row r="8" spans="2:12">
      <c r="B8" s="71" t="s">
        <v>35</v>
      </c>
      <c r="C8" s="83">
        <v>1</v>
      </c>
      <c r="D8" s="83">
        <f>ADOP</f>
        <v>1000</v>
      </c>
      <c r="F8" s="177"/>
      <c r="I8" s="10"/>
      <c r="J8" s="9"/>
      <c r="L8" s="10"/>
    </row>
    <row r="9" spans="2:12">
      <c r="B9" s="71"/>
      <c r="C9" s="83"/>
      <c r="D9" s="83"/>
      <c r="F9" s="177" t="s">
        <v>266</v>
      </c>
      <c r="I9" s="10"/>
      <c r="J9" s="9"/>
      <c r="K9" s="317">
        <f>K7*CMP</f>
        <v>8800</v>
      </c>
      <c r="L9" s="10"/>
    </row>
    <row r="10" spans="2:12">
      <c r="B10" s="71" t="s">
        <v>65</v>
      </c>
      <c r="C10" s="83">
        <v>3</v>
      </c>
      <c r="D10" s="83">
        <f>MKT</f>
        <v>1300</v>
      </c>
      <c r="F10" s="177" t="s">
        <v>235</v>
      </c>
      <c r="I10" s="10"/>
      <c r="J10" s="9"/>
      <c r="K10" s="1">
        <f>C17*ING</f>
        <v>1500</v>
      </c>
      <c r="L10" s="10"/>
    </row>
    <row r="11" spans="2:12">
      <c r="B11" s="71"/>
      <c r="C11" s="83"/>
      <c r="D11" s="83"/>
      <c r="F11" s="177" t="s">
        <v>236</v>
      </c>
      <c r="I11" s="10"/>
      <c r="J11" s="9"/>
      <c r="K11" s="1">
        <f>C18*ADOP</f>
        <v>3000</v>
      </c>
      <c r="L11" s="10"/>
    </row>
    <row r="12" spans="2:12">
      <c r="B12" s="71" t="s">
        <v>260</v>
      </c>
      <c r="C12" s="83">
        <v>1</v>
      </c>
      <c r="D12" s="83">
        <f>ING</f>
        <v>1500</v>
      </c>
      <c r="F12" s="177" t="s">
        <v>212</v>
      </c>
      <c r="I12" s="10"/>
      <c r="J12" s="9"/>
      <c r="K12" s="11">
        <f>'Investment project Q2'!C18/'Investment project Q2'!G18</f>
        <v>1000</v>
      </c>
      <c r="L12" s="10"/>
    </row>
    <row r="13" spans="2:12">
      <c r="B13" s="71"/>
      <c r="C13" s="71"/>
      <c r="D13" s="71"/>
      <c r="F13" s="177"/>
      <c r="I13" s="10"/>
      <c r="J13" s="9"/>
      <c r="L13" s="10"/>
    </row>
    <row r="14" spans="2:12">
      <c r="B14" s="71" t="s">
        <v>36</v>
      </c>
      <c r="C14" s="83">
        <v>0</v>
      </c>
      <c r="D14" s="83">
        <f>ING</f>
        <v>1500</v>
      </c>
      <c r="F14" s="9" t="s">
        <v>124</v>
      </c>
      <c r="I14" s="10"/>
      <c r="J14" s="9"/>
      <c r="K14" s="329">
        <f>SUM(K9:K12)</f>
        <v>14300</v>
      </c>
      <c r="L14" s="10"/>
    </row>
    <row r="15" spans="2:12">
      <c r="B15" s="71"/>
      <c r="C15" s="83"/>
      <c r="D15" s="83"/>
      <c r="F15" s="5"/>
      <c r="I15" s="10"/>
      <c r="J15" s="9"/>
      <c r="L15" s="10"/>
    </row>
    <row r="16" spans="2:12">
      <c r="B16" s="71" t="s">
        <v>25</v>
      </c>
      <c r="C16" s="83"/>
      <c r="D16" s="83"/>
      <c r="F16" s="177" t="s">
        <v>237</v>
      </c>
      <c r="I16" s="10"/>
      <c r="J16" s="9"/>
      <c r="K16" s="318">
        <f>K14/K7</f>
        <v>26</v>
      </c>
      <c r="L16" s="19" t="s">
        <v>14</v>
      </c>
    </row>
    <row r="17" spans="2:13">
      <c r="B17" s="71" t="s">
        <v>261</v>
      </c>
      <c r="C17" s="83">
        <v>1</v>
      </c>
      <c r="D17" s="83">
        <f>ING</f>
        <v>1500</v>
      </c>
      <c r="F17" s="13"/>
      <c r="G17" s="11"/>
      <c r="H17" s="11"/>
      <c r="I17" s="8"/>
      <c r="J17" s="7"/>
      <c r="K17" s="11"/>
      <c r="L17" s="8"/>
    </row>
    <row r="18" spans="2:13">
      <c r="B18" s="71" t="s">
        <v>262</v>
      </c>
      <c r="C18" s="83">
        <v>3</v>
      </c>
      <c r="D18" s="83">
        <f>ADOP</f>
        <v>1000</v>
      </c>
    </row>
    <row r="19" spans="2:13">
      <c r="B19" s="72"/>
      <c r="C19" s="72"/>
      <c r="D19" s="72"/>
    </row>
    <row r="22" spans="2:13" ht="19">
      <c r="B22" s="12" t="s">
        <v>64</v>
      </c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D24" s="1">
        <f>F24*H24+J24*L24</f>
        <v>52500</v>
      </c>
      <c r="F24" s="9">
        <f>'Investment project Q2'!F9</f>
        <v>1000</v>
      </c>
      <c r="G24" s="2" t="s">
        <v>70</v>
      </c>
      <c r="H24" s="1">
        <f>PVB2C</f>
        <v>30</v>
      </c>
      <c r="I24" s="349" t="s">
        <v>71</v>
      </c>
      <c r="J24" s="9">
        <f>'Investment project Q2'!F10</f>
        <v>900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I25" s="349"/>
      <c r="J25" s="9"/>
      <c r="K25" s="2"/>
      <c r="M25" s="349"/>
    </row>
    <row r="26" spans="2:13">
      <c r="B26" s="1" t="s">
        <v>66</v>
      </c>
      <c r="D26" s="33">
        <f>-(F26*H26+J26*L26)</f>
        <v>-38000</v>
      </c>
      <c r="F26" s="326">
        <f>F24</f>
        <v>1000</v>
      </c>
      <c r="G26" s="25" t="s">
        <v>70</v>
      </c>
      <c r="H26" s="33">
        <f>PAP</f>
        <v>20</v>
      </c>
      <c r="I26" s="350" t="s">
        <v>71</v>
      </c>
      <c r="J26" s="326">
        <f>J24</f>
        <v>900</v>
      </c>
      <c r="K26" s="25" t="s">
        <v>70</v>
      </c>
      <c r="L26" s="33">
        <f>PAP</f>
        <v>20</v>
      </c>
      <c r="M26" s="350" t="s">
        <v>71</v>
      </c>
    </row>
    <row r="28" spans="2:13">
      <c r="B28" s="1" t="s">
        <v>67</v>
      </c>
      <c r="D28" s="1">
        <f>D24+D26</f>
        <v>14500</v>
      </c>
    </row>
    <row r="29" spans="2:13">
      <c r="F29" s="14"/>
      <c r="G29" s="15"/>
      <c r="H29" s="15"/>
      <c r="I29" s="24" t="s">
        <v>110</v>
      </c>
      <c r="J29" s="15"/>
      <c r="K29" s="15"/>
      <c r="L29" s="17"/>
    </row>
    <row r="30" spans="2:13">
      <c r="B30" s="1" t="s">
        <v>99</v>
      </c>
      <c r="D30" s="1">
        <f>-(C6*MAN+C8*ADOP)</f>
        <v>-3000</v>
      </c>
      <c r="F30" s="5" t="s">
        <v>94</v>
      </c>
      <c r="H30" s="1">
        <f>'March-2'!L16</f>
        <v>400</v>
      </c>
      <c r="J30" s="1" t="s">
        <v>102</v>
      </c>
      <c r="L30" s="10">
        <f>F26+J26</f>
        <v>1900</v>
      </c>
    </row>
    <row r="31" spans="2:13">
      <c r="B31" s="1" t="s">
        <v>100</v>
      </c>
      <c r="D31" s="1">
        <f>-C10*MKT</f>
        <v>-3900</v>
      </c>
      <c r="F31" s="13" t="s">
        <v>97</v>
      </c>
      <c r="G31" s="11"/>
      <c r="H31" s="11">
        <v>1500</v>
      </c>
      <c r="I31" s="11"/>
      <c r="J31" s="11" t="s">
        <v>90</v>
      </c>
      <c r="K31" s="11"/>
      <c r="L31" s="8">
        <f>H32-L30</f>
        <v>0</v>
      </c>
    </row>
    <row r="32" spans="2:13">
      <c r="B32" s="31" t="s">
        <v>188</v>
      </c>
      <c r="D32" s="11">
        <f>-C12*ING</f>
        <v>-1500</v>
      </c>
      <c r="F32" s="14" t="s">
        <v>6</v>
      </c>
      <c r="G32" s="15"/>
      <c r="H32" s="15">
        <f>H30+H31</f>
        <v>1900</v>
      </c>
      <c r="I32" s="15"/>
      <c r="J32" s="16" t="s">
        <v>6</v>
      </c>
      <c r="K32" s="15"/>
      <c r="L32" s="17">
        <f>L30+L31</f>
        <v>1900</v>
      </c>
    </row>
    <row r="33" spans="2:12">
      <c r="B33" s="31"/>
      <c r="F33" s="1"/>
    </row>
    <row r="34" spans="2:12">
      <c r="B34" s="1" t="s">
        <v>250</v>
      </c>
      <c r="D34" s="1">
        <f>D28+D31+D30+D32</f>
        <v>6100</v>
      </c>
      <c r="F34" s="14"/>
      <c r="G34" s="15"/>
      <c r="H34" s="15"/>
      <c r="I34" s="24" t="s">
        <v>112</v>
      </c>
      <c r="J34" s="15"/>
      <c r="K34" s="15"/>
      <c r="L34" s="17"/>
    </row>
    <row r="35" spans="2:12">
      <c r="F35" s="5" t="s">
        <v>94</v>
      </c>
      <c r="H35" s="1">
        <f>H30*H26</f>
        <v>8000</v>
      </c>
      <c r="J35" s="1" t="s">
        <v>9</v>
      </c>
      <c r="L35" s="32">
        <f>L30*H26</f>
        <v>38000</v>
      </c>
    </row>
    <row r="36" spans="2:12">
      <c r="B36" s="1" t="s">
        <v>238</v>
      </c>
      <c r="D36" s="1">
        <f>-'Investment project Q2'!C82</f>
        <v>-240</v>
      </c>
      <c r="F36" s="13" t="s">
        <v>105</v>
      </c>
      <c r="G36" s="11"/>
      <c r="H36" s="34">
        <f>H31*H26</f>
        <v>30000</v>
      </c>
      <c r="I36" s="11"/>
      <c r="J36" s="11" t="s">
        <v>4</v>
      </c>
      <c r="K36" s="11"/>
      <c r="L36" s="8">
        <f>H37-L35</f>
        <v>0</v>
      </c>
    </row>
    <row r="37" spans="2:12">
      <c r="F37" s="14" t="s">
        <v>6</v>
      </c>
      <c r="G37" s="15"/>
      <c r="H37" s="15">
        <f>H35+H36</f>
        <v>38000</v>
      </c>
      <c r="I37" s="15"/>
      <c r="J37" s="16" t="s">
        <v>6</v>
      </c>
      <c r="K37" s="15"/>
      <c r="L37" s="17">
        <f>L35+L36</f>
        <v>38000</v>
      </c>
    </row>
    <row r="38" spans="2:12">
      <c r="B38" s="1" t="s">
        <v>239</v>
      </c>
      <c r="D38" s="1">
        <f>D34+D36</f>
        <v>5860</v>
      </c>
    </row>
    <row r="39" spans="2:12">
      <c r="F39" s="14"/>
      <c r="G39" s="15"/>
      <c r="H39" s="15"/>
      <c r="I39" s="352" t="s">
        <v>111</v>
      </c>
      <c r="J39" s="15"/>
      <c r="K39" s="15"/>
      <c r="L39" s="17"/>
    </row>
    <row r="40" spans="2:12">
      <c r="B40" s="1" t="s">
        <v>240</v>
      </c>
      <c r="D40" s="11">
        <f>-D38*C79</f>
        <v>-1172</v>
      </c>
      <c r="F40" s="5" t="s">
        <v>94</v>
      </c>
      <c r="H40" s="1">
        <f>'March-2'!L42</f>
        <v>0</v>
      </c>
      <c r="J40" s="1" t="s">
        <v>65</v>
      </c>
      <c r="L40" s="10">
        <f>F15+J15</f>
        <v>0</v>
      </c>
    </row>
    <row r="41" spans="2:12">
      <c r="F41" s="13" t="s">
        <v>25</v>
      </c>
      <c r="G41" s="11"/>
      <c r="H41" s="328">
        <f>K7</f>
        <v>550</v>
      </c>
      <c r="I41" s="11"/>
      <c r="J41" s="11" t="s">
        <v>90</v>
      </c>
      <c r="K41" s="11"/>
      <c r="L41" s="8">
        <f>H42-L40</f>
        <v>550</v>
      </c>
    </row>
    <row r="42" spans="2:12">
      <c r="B42" s="1" t="s">
        <v>241</v>
      </c>
      <c r="D42" s="1">
        <f>D38+D40</f>
        <v>4688</v>
      </c>
      <c r="F42" s="14" t="s">
        <v>6</v>
      </c>
      <c r="G42" s="15"/>
      <c r="H42" s="15">
        <f>H40+H41</f>
        <v>550</v>
      </c>
      <c r="I42" s="15"/>
      <c r="J42" s="16" t="s">
        <v>6</v>
      </c>
      <c r="K42" s="15"/>
      <c r="L42" s="17">
        <f>L40+L41</f>
        <v>550</v>
      </c>
    </row>
    <row r="43" spans="2:12">
      <c r="J43" s="2"/>
    </row>
    <row r="44" spans="2:12">
      <c r="F44" s="14"/>
      <c r="G44" s="15"/>
      <c r="H44" s="15"/>
      <c r="I44" s="24" t="s">
        <v>113</v>
      </c>
      <c r="J44" s="15"/>
      <c r="K44" s="15"/>
      <c r="L44" s="17"/>
    </row>
    <row r="45" spans="2:12">
      <c r="F45" s="5" t="s">
        <v>94</v>
      </c>
      <c r="H45" s="1">
        <f>H40</f>
        <v>0</v>
      </c>
      <c r="J45" s="1" t="s">
        <v>120</v>
      </c>
      <c r="L45" s="32">
        <f>L40*H15</f>
        <v>0</v>
      </c>
    </row>
    <row r="46" spans="2:12">
      <c r="F46" s="129" t="s">
        <v>119</v>
      </c>
      <c r="G46" s="11"/>
      <c r="H46" s="328">
        <f>H41*K16</f>
        <v>14300</v>
      </c>
      <c r="I46" s="11"/>
      <c r="J46" s="11" t="s">
        <v>90</v>
      </c>
      <c r="K46" s="11"/>
      <c r="L46" s="8">
        <f>H47-L45</f>
        <v>14300</v>
      </c>
    </row>
    <row r="47" spans="2:12">
      <c r="F47" s="14" t="s">
        <v>6</v>
      </c>
      <c r="G47" s="15"/>
      <c r="H47" s="15">
        <f>H45+H46</f>
        <v>14300</v>
      </c>
      <c r="I47" s="15"/>
      <c r="J47" s="16" t="s">
        <v>6</v>
      </c>
      <c r="K47" s="15"/>
      <c r="L47" s="17">
        <f>L45+L46</f>
        <v>14300</v>
      </c>
    </row>
    <row r="48" spans="2:12">
      <c r="F48" s="1"/>
    </row>
    <row r="49" spans="2:12" ht="19">
      <c r="B49" s="12" t="s">
        <v>72</v>
      </c>
      <c r="F49" s="1"/>
    </row>
    <row r="50" spans="2:12">
      <c r="F50" s="14"/>
      <c r="G50" s="15"/>
      <c r="H50" s="15"/>
      <c r="I50" s="24" t="s">
        <v>89</v>
      </c>
      <c r="J50" s="15"/>
      <c r="K50" s="15"/>
      <c r="L50" s="17"/>
    </row>
    <row r="51" spans="2:12">
      <c r="B51" s="1" t="s">
        <v>73</v>
      </c>
      <c r="D51" s="20">
        <f>L51</f>
        <v>47500</v>
      </c>
      <c r="F51" s="5" t="s">
        <v>94</v>
      </c>
      <c r="H51" s="1">
        <f>'March-2'!L27</f>
        <v>17500</v>
      </c>
      <c r="J51" s="1" t="s">
        <v>95</v>
      </c>
      <c r="L51" s="21">
        <f>H51+H52-L52</f>
        <v>47500</v>
      </c>
    </row>
    <row r="52" spans="2:12">
      <c r="B52" s="1" t="s">
        <v>242</v>
      </c>
      <c r="D52" s="1">
        <f>'Investment project Q2'!C76</f>
        <v>48000</v>
      </c>
      <c r="F52" s="13" t="s">
        <v>65</v>
      </c>
      <c r="G52" s="11"/>
      <c r="H52" s="11">
        <f>D24</f>
        <v>52500</v>
      </c>
      <c r="I52" s="11"/>
      <c r="J52" s="11" t="s">
        <v>90</v>
      </c>
      <c r="K52" s="11"/>
      <c r="L52" s="8">
        <f>J24*L24</f>
        <v>22500</v>
      </c>
    </row>
    <row r="53" spans="2:12">
      <c r="F53" s="14" t="s">
        <v>6</v>
      </c>
      <c r="G53" s="15"/>
      <c r="H53" s="15">
        <f>H51+H52</f>
        <v>70000</v>
      </c>
      <c r="I53" s="15"/>
      <c r="J53" s="16" t="s">
        <v>6</v>
      </c>
      <c r="K53" s="15"/>
      <c r="L53" s="17">
        <f>L51+L52</f>
        <v>70000</v>
      </c>
    </row>
    <row r="54" spans="2:12">
      <c r="B54" s="1" t="s">
        <v>26</v>
      </c>
      <c r="D54" s="1">
        <f>D51+D52</f>
        <v>95500</v>
      </c>
      <c r="F54" s="1"/>
    </row>
    <row r="55" spans="2:12">
      <c r="F55" s="1"/>
    </row>
    <row r="56" spans="2:12">
      <c r="B56" s="1" t="s">
        <v>74</v>
      </c>
      <c r="F56" s="14"/>
      <c r="G56" s="15"/>
      <c r="H56" s="15"/>
      <c r="I56" s="24" t="s">
        <v>86</v>
      </c>
      <c r="J56" s="15"/>
      <c r="K56" s="15"/>
      <c r="L56" s="17"/>
    </row>
    <row r="57" spans="2:12">
      <c r="C57" s="1" t="s">
        <v>98</v>
      </c>
      <c r="D57" s="22">
        <f>-L57</f>
        <v>-32900</v>
      </c>
      <c r="F57" s="5" t="s">
        <v>94</v>
      </c>
      <c r="H57" s="1">
        <f>'March-2'!L32</f>
        <v>13500</v>
      </c>
      <c r="J57" s="1" t="s">
        <v>96</v>
      </c>
      <c r="L57" s="23">
        <f>H57+H58-L58</f>
        <v>32900</v>
      </c>
    </row>
    <row r="58" spans="2:12">
      <c r="C58" s="1" t="s">
        <v>11</v>
      </c>
      <c r="D58" s="1">
        <f>D30</f>
        <v>-3000</v>
      </c>
      <c r="F58" s="13" t="s">
        <v>97</v>
      </c>
      <c r="G58" s="11"/>
      <c r="H58" s="34">
        <f>K9+H36</f>
        <v>38800</v>
      </c>
      <c r="I58" s="11"/>
      <c r="J58" s="11" t="s">
        <v>90</v>
      </c>
      <c r="K58" s="11"/>
      <c r="L58" s="8">
        <f>J61*H58</f>
        <v>19400</v>
      </c>
    </row>
    <row r="59" spans="2:12">
      <c r="C59" s="1" t="s">
        <v>125</v>
      </c>
      <c r="D59" s="1">
        <f>D31</f>
        <v>-3900</v>
      </c>
      <c r="F59" s="14" t="s">
        <v>6</v>
      </c>
      <c r="G59" s="15"/>
      <c r="H59" s="15">
        <f>H57+H58</f>
        <v>52300</v>
      </c>
      <c r="I59" s="15"/>
      <c r="J59" s="16" t="s">
        <v>6</v>
      </c>
      <c r="K59" s="15"/>
      <c r="L59" s="17">
        <f>L57+L58</f>
        <v>52300</v>
      </c>
    </row>
    <row r="60" spans="2:12">
      <c r="C60" s="1" t="s">
        <v>13</v>
      </c>
      <c r="D60" s="1">
        <f>D32</f>
        <v>-1500</v>
      </c>
      <c r="F60" s="1"/>
    </row>
    <row r="61" spans="2:12">
      <c r="C61" s="1" t="s">
        <v>243</v>
      </c>
      <c r="D61" s="1">
        <f>-K10</f>
        <v>-1500</v>
      </c>
      <c r="I61" s="29" t="s">
        <v>92</v>
      </c>
      <c r="J61" s="40">
        <v>0.5</v>
      </c>
      <c r="K61" s="351" t="s">
        <v>93</v>
      </c>
    </row>
    <row r="62" spans="2:12">
      <c r="C62" s="1" t="s">
        <v>252</v>
      </c>
      <c r="D62" s="1">
        <f>-K11</f>
        <v>-3000</v>
      </c>
      <c r="F62" s="1"/>
    </row>
    <row r="63" spans="2:12">
      <c r="C63" s="1" t="s">
        <v>158</v>
      </c>
      <c r="D63" s="1">
        <v>0</v>
      </c>
      <c r="F63" s="1"/>
    </row>
    <row r="64" spans="2:12">
      <c r="C64" s="1" t="s">
        <v>159</v>
      </c>
      <c r="D64" s="1">
        <v>0</v>
      </c>
      <c r="F64" s="1"/>
    </row>
    <row r="65" spans="2:10">
      <c r="C65" s="1" t="s">
        <v>244</v>
      </c>
      <c r="D65" s="1">
        <f>-'Investment project Q2'!C18</f>
        <v>-60000</v>
      </c>
      <c r="F65" s="1"/>
    </row>
    <row r="66" spans="2:10">
      <c r="C66" s="1" t="s">
        <v>245</v>
      </c>
      <c r="D66" s="1">
        <f>D36</f>
        <v>-240</v>
      </c>
      <c r="J66" s="2"/>
    </row>
    <row r="67" spans="2:10">
      <c r="F67" s="1"/>
    </row>
    <row r="68" spans="2:10">
      <c r="B68" s="1" t="s">
        <v>76</v>
      </c>
      <c r="D68" s="1">
        <f>SUM(D57:D66)</f>
        <v>-106040</v>
      </c>
      <c r="F68" s="1"/>
    </row>
    <row r="69" spans="2:10">
      <c r="F69" s="1"/>
    </row>
    <row r="70" spans="2:10">
      <c r="B70" s="26" t="s">
        <v>77</v>
      </c>
      <c r="C70" s="26"/>
      <c r="D70" s="26">
        <f>D54+D68</f>
        <v>-10540</v>
      </c>
      <c r="F70" s="1"/>
    </row>
    <row r="71" spans="2:10">
      <c r="F71" s="1"/>
    </row>
    <row r="72" spans="2:10">
      <c r="B72" s="1" t="s">
        <v>78</v>
      </c>
      <c r="D72" s="1">
        <f>'March-2'!C70</f>
        <v>13520</v>
      </c>
      <c r="F72" s="1"/>
    </row>
    <row r="73" spans="2:10">
      <c r="F73" s="1"/>
    </row>
    <row r="74" spans="2:10">
      <c r="B74" s="1" t="s">
        <v>79</v>
      </c>
      <c r="D74" s="27">
        <f>D70+D72</f>
        <v>2980</v>
      </c>
      <c r="F74" s="1"/>
    </row>
    <row r="75" spans="2:10">
      <c r="F75" s="1"/>
    </row>
    <row r="76" spans="2:10">
      <c r="F76" s="1"/>
    </row>
    <row r="77" spans="2:10" ht="19">
      <c r="B77" s="12" t="s">
        <v>139</v>
      </c>
      <c r="C77" s="36"/>
      <c r="D77" s="12" t="s">
        <v>129</v>
      </c>
      <c r="F77" s="1"/>
      <c r="H77" s="2"/>
    </row>
    <row r="78" spans="2:10" ht="19">
      <c r="D78" s="12"/>
      <c r="F78" s="1"/>
    </row>
    <row r="79" spans="2:10">
      <c r="B79" s="31" t="s">
        <v>165</v>
      </c>
      <c r="C79" s="128">
        <f>TIS</f>
        <v>0.2</v>
      </c>
      <c r="D79" s="1" t="s">
        <v>130</v>
      </c>
      <c r="E79" s="2"/>
      <c r="F79" s="128">
        <v>0</v>
      </c>
      <c r="J79" s="37"/>
    </row>
    <row r="80" spans="2:10">
      <c r="C80" s="2"/>
      <c r="E80" s="2"/>
      <c r="F80" s="1"/>
    </row>
    <row r="81" spans="2:12">
      <c r="B81" s="1" t="s">
        <v>166</v>
      </c>
      <c r="C81" s="2">
        <f>D38</f>
        <v>5860</v>
      </c>
      <c r="D81" s="1" t="s">
        <v>167</v>
      </c>
      <c r="F81" s="2">
        <f>C85</f>
        <v>4688</v>
      </c>
    </row>
    <row r="82" spans="2:12">
      <c r="C82" s="2"/>
    </row>
    <row r="83" spans="2:12">
      <c r="B83" s="1" t="s">
        <v>141</v>
      </c>
      <c r="C83" s="2">
        <f>-C81*C79</f>
        <v>-1172</v>
      </c>
      <c r="D83" s="1" t="s">
        <v>131</v>
      </c>
      <c r="F83" s="302">
        <f>C85*F79</f>
        <v>0</v>
      </c>
    </row>
    <row r="84" spans="2:12">
      <c r="C84" s="2"/>
    </row>
    <row r="85" spans="2:12">
      <c r="B85" s="1" t="s">
        <v>167</v>
      </c>
      <c r="C85" s="2">
        <f>C81+C83</f>
        <v>4688</v>
      </c>
      <c r="D85" s="1" t="s">
        <v>185</v>
      </c>
      <c r="F85" s="303">
        <f>C85-F83</f>
        <v>4688</v>
      </c>
    </row>
    <row r="86" spans="2:12">
      <c r="F86" s="1"/>
      <c r="I86" s="2"/>
    </row>
    <row r="87" spans="2:12" s="2" customFormat="1">
      <c r="B87" s="1"/>
      <c r="C87" s="1"/>
      <c r="D87" s="1"/>
      <c r="E87" s="1"/>
      <c r="G87" s="1"/>
      <c r="H87" s="1"/>
      <c r="I87" s="1"/>
      <c r="J87" s="1"/>
      <c r="K87" s="1"/>
      <c r="L87" s="1"/>
    </row>
    <row r="88" spans="2:12" s="2" customFormat="1" ht="19">
      <c r="B88" s="12" t="s">
        <v>80</v>
      </c>
      <c r="C88" s="1"/>
      <c r="D88" s="12"/>
      <c r="E88" s="1"/>
      <c r="G88" s="1"/>
      <c r="H88" s="1"/>
      <c r="I88" s="1"/>
      <c r="J88" s="1"/>
      <c r="K88" s="1"/>
      <c r="L88" s="1"/>
    </row>
    <row r="89" spans="2:12" s="2" customFormat="1">
      <c r="B89" s="1"/>
      <c r="C89" s="1"/>
      <c r="D89" s="1"/>
      <c r="E89" s="1"/>
      <c r="G89" s="1"/>
      <c r="H89" s="1"/>
      <c r="I89" s="1"/>
      <c r="J89" s="1"/>
      <c r="K89" s="1"/>
      <c r="L89" s="1"/>
    </row>
    <row r="90" spans="2:12" s="2" customFormat="1" ht="11" customHeight="1">
      <c r="B90" s="3"/>
      <c r="C90" s="4"/>
      <c r="D90" s="3"/>
      <c r="E90" s="4"/>
      <c r="G90" s="1"/>
      <c r="H90" s="1"/>
      <c r="I90" s="1"/>
      <c r="J90" s="1"/>
      <c r="K90" s="1"/>
      <c r="L90" s="1"/>
    </row>
    <row r="91" spans="2:12" s="2" customFormat="1">
      <c r="B91" s="5" t="s">
        <v>60</v>
      </c>
      <c r="C91" s="6"/>
      <c r="D91" s="5" t="s">
        <v>84</v>
      </c>
      <c r="E91" s="6"/>
      <c r="G91" s="1"/>
      <c r="H91" s="1"/>
      <c r="I91" s="1"/>
      <c r="J91" s="1"/>
      <c r="K91" s="1"/>
      <c r="L91" s="1"/>
    </row>
    <row r="92" spans="2:12" s="2" customFormat="1" ht="11" customHeight="1">
      <c r="B92" s="7"/>
      <c r="C92" s="8"/>
      <c r="D92" s="7"/>
      <c r="E92" s="8"/>
      <c r="F92" s="30"/>
      <c r="G92" s="1"/>
      <c r="I92" s="31"/>
      <c r="J92" s="1"/>
      <c r="K92" s="1"/>
      <c r="L92" s="1"/>
    </row>
    <row r="93" spans="2:12" s="2" customFormat="1">
      <c r="B93" s="3"/>
      <c r="C93" s="4"/>
      <c r="D93" s="3"/>
      <c r="E93" s="4"/>
      <c r="F93" s="115"/>
      <c r="G93" s="116" t="s">
        <v>90</v>
      </c>
      <c r="H93" s="116"/>
      <c r="I93" s="117"/>
      <c r="J93" s="1"/>
      <c r="K93" s="1"/>
      <c r="L93" s="1"/>
    </row>
    <row r="94" spans="2:12" s="2" customFormat="1">
      <c r="B94" s="9"/>
      <c r="C94" s="10"/>
      <c r="D94" s="9" t="s">
        <v>62</v>
      </c>
      <c r="E94" s="10">
        <f>NA*PAR</f>
        <v>10000</v>
      </c>
      <c r="F94" s="5"/>
      <c r="G94" s="31" t="s">
        <v>258</v>
      </c>
      <c r="I94" s="6" t="s">
        <v>195</v>
      </c>
      <c r="J94" s="1"/>
      <c r="K94" s="1"/>
      <c r="L94" s="1"/>
    </row>
    <row r="95" spans="2:12" s="2" customFormat="1">
      <c r="B95" s="9" t="s">
        <v>248</v>
      </c>
      <c r="C95" s="122">
        <f>'Investment project Q2'!C18</f>
        <v>60000</v>
      </c>
      <c r="D95" s="9" t="s">
        <v>85</v>
      </c>
      <c r="E95" s="43">
        <f>G95+I95</f>
        <v>18848</v>
      </c>
      <c r="F95" s="13" t="s">
        <v>23</v>
      </c>
      <c r="G95" s="11">
        <f>'March-2'!E65</f>
        <v>14160</v>
      </c>
      <c r="H95" s="11"/>
      <c r="I95" s="118">
        <f>F85</f>
        <v>4688</v>
      </c>
      <c r="J95" s="1"/>
      <c r="K95" s="1"/>
      <c r="L95" s="1"/>
    </row>
    <row r="96" spans="2:12" s="2" customFormat="1">
      <c r="B96" s="9" t="s">
        <v>246</v>
      </c>
      <c r="C96" s="123">
        <f>-K12</f>
        <v>-1000</v>
      </c>
      <c r="D96" s="9" t="s">
        <v>82</v>
      </c>
      <c r="E96" s="10">
        <f>E94+E95</f>
        <v>28848</v>
      </c>
      <c r="G96" s="1"/>
      <c r="H96" s="1"/>
      <c r="I96" s="1"/>
      <c r="J96" s="1"/>
      <c r="K96" s="1"/>
      <c r="L96" s="1"/>
    </row>
    <row r="97" spans="2:12" s="2" customFormat="1">
      <c r="B97" s="9" t="s">
        <v>247</v>
      </c>
      <c r="C97" s="122">
        <f>C95+C96</f>
        <v>59000</v>
      </c>
      <c r="D97" s="9"/>
      <c r="E97" s="10"/>
      <c r="G97" s="1"/>
      <c r="H97" s="1"/>
      <c r="I97" s="1"/>
      <c r="J97" s="1"/>
      <c r="K97" s="1"/>
      <c r="L97" s="1"/>
    </row>
    <row r="98" spans="2:12" s="2" customFormat="1">
      <c r="B98" s="5"/>
      <c r="C98" s="6"/>
      <c r="D98" s="9" t="s">
        <v>229</v>
      </c>
      <c r="E98" s="10">
        <f>D52</f>
        <v>48000</v>
      </c>
      <c r="G98" s="1"/>
      <c r="H98" s="1"/>
      <c r="I98" s="1"/>
      <c r="J98" s="1"/>
      <c r="K98" s="1"/>
      <c r="L98" s="1"/>
    </row>
    <row r="99" spans="2:12" s="2" customFormat="1">
      <c r="B99" s="9"/>
      <c r="C99" s="122"/>
      <c r="D99" s="9"/>
      <c r="E99" s="10"/>
      <c r="G99" s="1"/>
      <c r="H99" s="1"/>
      <c r="I99" s="1"/>
      <c r="J99" s="1"/>
      <c r="K99" s="1"/>
      <c r="L99" s="1"/>
    </row>
    <row r="100" spans="2:12" s="2" customFormat="1">
      <c r="B100" s="9" t="s">
        <v>127</v>
      </c>
      <c r="C100" s="10">
        <f>L46</f>
        <v>14300</v>
      </c>
      <c r="D100" s="9" t="s">
        <v>135</v>
      </c>
      <c r="E100" s="41">
        <f>'March-2'!E69+'April-2'!D64+F83</f>
        <v>0</v>
      </c>
      <c r="G100" s="1"/>
      <c r="H100" s="1"/>
      <c r="I100" s="1"/>
      <c r="J100" s="1"/>
      <c r="K100" s="1"/>
      <c r="L100" s="1"/>
    </row>
    <row r="101" spans="2:12" s="2" customFormat="1">
      <c r="B101" s="9" t="s">
        <v>128</v>
      </c>
      <c r="C101" s="10">
        <f>L52</f>
        <v>22500</v>
      </c>
      <c r="D101" s="9" t="s">
        <v>86</v>
      </c>
      <c r="E101" s="10">
        <f>L58</f>
        <v>19400</v>
      </c>
      <c r="G101" s="1"/>
      <c r="H101" s="1"/>
      <c r="I101" s="1"/>
      <c r="J101" s="1"/>
      <c r="K101" s="1"/>
      <c r="L101" s="1"/>
    </row>
    <row r="102" spans="2:12" s="2" customFormat="1">
      <c r="B102" s="9"/>
      <c r="C102" s="10"/>
      <c r="D102" s="9" t="s">
        <v>145</v>
      </c>
      <c r="E102" s="10">
        <f>'March-2'!E71-'April-2'!C83+'April-2'!D63</f>
        <v>2532</v>
      </c>
      <c r="G102" s="1"/>
      <c r="H102" s="1"/>
      <c r="I102" s="1"/>
      <c r="J102" s="1"/>
      <c r="K102" s="1"/>
      <c r="L102" s="1"/>
    </row>
    <row r="103" spans="2:12" s="2" customFormat="1">
      <c r="B103" s="9" t="s">
        <v>63</v>
      </c>
      <c r="C103" s="28">
        <f>'April-2'!D74</f>
        <v>2980</v>
      </c>
      <c r="E103" s="6"/>
      <c r="G103" s="1" t="s">
        <v>1</v>
      </c>
      <c r="H103" s="1"/>
      <c r="I103" s="1"/>
      <c r="J103" s="1"/>
      <c r="K103" s="1"/>
      <c r="L103" s="1"/>
    </row>
    <row r="104" spans="2:12">
      <c r="B104" s="9"/>
      <c r="C104" s="10"/>
      <c r="D104" s="9"/>
      <c r="E104" s="10"/>
    </row>
    <row r="105" spans="2:12">
      <c r="B105" s="18" t="s">
        <v>88</v>
      </c>
      <c r="C105" s="19">
        <f>C101+C103+C100+C97</f>
        <v>98780</v>
      </c>
      <c r="D105" s="18" t="s">
        <v>87</v>
      </c>
      <c r="E105" s="19">
        <f>E96+E101+E102+E100+E98</f>
        <v>98780</v>
      </c>
    </row>
    <row r="106" spans="2:12">
      <c r="B106" s="7"/>
      <c r="C106" s="8"/>
      <c r="D106" s="7"/>
      <c r="E106" s="8"/>
    </row>
    <row r="109" spans="2:12" ht="19">
      <c r="B109" s="12" t="s">
        <v>182</v>
      </c>
    </row>
    <row r="111" spans="2:12">
      <c r="B111" s="1" t="s">
        <v>173</v>
      </c>
      <c r="D111" s="2">
        <f>'Financial analysis April-2'!J99</f>
        <v>17400</v>
      </c>
    </row>
    <row r="112" spans="2:12">
      <c r="D112" s="2"/>
    </row>
    <row r="113" spans="2:7">
      <c r="B113" s="26" t="s">
        <v>183</v>
      </c>
      <c r="C113" s="26"/>
      <c r="D113" s="127">
        <f>'Financial analysis April-2'!J99-'Financial analysis April-2'!I99</f>
        <v>5400</v>
      </c>
    </row>
    <row r="114" spans="2:7">
      <c r="D114" s="2"/>
    </row>
    <row r="115" spans="2:7">
      <c r="B115" s="1" t="s">
        <v>249</v>
      </c>
      <c r="D115" s="2">
        <f>D34</f>
        <v>6100</v>
      </c>
    </row>
    <row r="116" spans="2:7">
      <c r="B116" s="1" t="s">
        <v>251</v>
      </c>
      <c r="D116" s="25">
        <f>K12</f>
        <v>1000</v>
      </c>
    </row>
    <row r="117" spans="2:7">
      <c r="D117" s="2"/>
    </row>
    <row r="118" spans="2:7">
      <c r="B118" s="26" t="s">
        <v>29</v>
      </c>
      <c r="C118" s="26"/>
      <c r="D118" s="127">
        <f>D115+D116</f>
        <v>7100</v>
      </c>
    </row>
    <row r="119" spans="2:7">
      <c r="D119" s="2"/>
    </row>
    <row r="120" spans="2:7" ht="19">
      <c r="B120" s="87" t="s">
        <v>184</v>
      </c>
      <c r="C120" s="87"/>
      <c r="D120" s="126">
        <f>D118-D113</f>
        <v>1700</v>
      </c>
    </row>
    <row r="121" spans="2:7">
      <c r="D121" s="2"/>
    </row>
    <row r="122" spans="2:7">
      <c r="B122" s="1" t="s">
        <v>176</v>
      </c>
      <c r="D122" s="2">
        <f>D63</f>
        <v>0</v>
      </c>
    </row>
    <row r="123" spans="2:7">
      <c r="B123" s="1" t="s">
        <v>253</v>
      </c>
      <c r="D123" s="25">
        <f>D36</f>
        <v>-240</v>
      </c>
    </row>
    <row r="124" spans="2:7">
      <c r="D124" s="2"/>
      <c r="G124" s="1" t="s">
        <v>1</v>
      </c>
    </row>
    <row r="125" spans="2:7">
      <c r="B125" s="1" t="s">
        <v>254</v>
      </c>
      <c r="D125" s="2">
        <f>D120+D123</f>
        <v>1460</v>
      </c>
    </row>
    <row r="126" spans="2:7">
      <c r="D126" s="2"/>
    </row>
    <row r="127" spans="2:7">
      <c r="B127" s="1" t="s">
        <v>255</v>
      </c>
      <c r="D127" s="25">
        <f>D65</f>
        <v>-60000</v>
      </c>
    </row>
    <row r="128" spans="2:7">
      <c r="D128" s="2"/>
    </row>
    <row r="129" spans="2:4">
      <c r="B129" s="1" t="s">
        <v>256</v>
      </c>
      <c r="D129" s="2">
        <f>D125+D127</f>
        <v>-58540</v>
      </c>
    </row>
    <row r="130" spans="2:4">
      <c r="D130" s="2"/>
    </row>
    <row r="131" spans="2:4">
      <c r="B131" s="1" t="s">
        <v>257</v>
      </c>
      <c r="D131" s="2">
        <f>E98</f>
        <v>48000</v>
      </c>
    </row>
    <row r="132" spans="2:4">
      <c r="D132" s="2"/>
    </row>
    <row r="133" spans="2:4">
      <c r="B133" s="1" t="s">
        <v>177</v>
      </c>
      <c r="D133" s="25">
        <f>D64</f>
        <v>0</v>
      </c>
    </row>
    <row r="134" spans="2:4">
      <c r="D134" s="2"/>
    </row>
    <row r="135" spans="2:4">
      <c r="B135" s="26" t="s">
        <v>178</v>
      </c>
      <c r="C135" s="26"/>
      <c r="D135" s="127">
        <f>D129+D131</f>
        <v>-10540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F931-18F5-4548-8D6F-5BD22709BE9A}">
  <dimension ref="B3:L10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0" width="10.83203125" style="89"/>
  </cols>
  <sheetData>
    <row r="3" spans="2:12" ht="19">
      <c r="B3" s="12"/>
    </row>
    <row r="4" spans="2:12">
      <c r="B4" s="50"/>
      <c r="C4" s="102"/>
      <c r="D4" s="102"/>
      <c r="E4" s="102"/>
      <c r="F4" s="102"/>
      <c r="G4" s="133"/>
      <c r="H4" s="133"/>
      <c r="I4" s="133"/>
      <c r="J4" s="90"/>
    </row>
    <row r="5" spans="2:12" s="46" customFormat="1" ht="19">
      <c r="B5" s="80" t="s">
        <v>107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70" t="s">
        <v>195</v>
      </c>
    </row>
    <row r="6" spans="2:12">
      <c r="B6" s="53"/>
      <c r="C6" s="104"/>
      <c r="D6" s="104"/>
      <c r="E6" s="104"/>
      <c r="F6" s="104"/>
      <c r="G6" s="135"/>
      <c r="H6" s="135"/>
      <c r="I6" s="135"/>
      <c r="J6" s="92"/>
    </row>
    <row r="7" spans="2:12">
      <c r="B7" s="50"/>
      <c r="C7" s="102"/>
      <c r="D7" s="102"/>
      <c r="E7" s="102"/>
      <c r="F7" s="102"/>
      <c r="G7" s="133"/>
      <c r="H7" s="133"/>
      <c r="I7" s="133"/>
      <c r="J7" s="90"/>
    </row>
    <row r="8" spans="2:12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93">
        <f>'April-2'!D24</f>
        <v>52500</v>
      </c>
    </row>
    <row r="9" spans="2:12">
      <c r="B9" s="71"/>
      <c r="C9" s="100"/>
      <c r="D9" s="100"/>
      <c r="E9" s="100"/>
      <c r="F9" s="100"/>
      <c r="G9" s="137"/>
      <c r="H9" s="137"/>
      <c r="I9" s="137"/>
      <c r="J9" s="91"/>
    </row>
    <row r="10" spans="2:12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94">
        <f>'April-2'!D26</f>
        <v>-38000</v>
      </c>
    </row>
    <row r="11" spans="2:12">
      <c r="B11" s="71"/>
      <c r="C11" s="100"/>
      <c r="D11" s="100"/>
      <c r="E11" s="100"/>
      <c r="F11" s="100"/>
      <c r="G11" s="137"/>
      <c r="H11" s="137"/>
      <c r="I11" s="137"/>
      <c r="J11" s="91"/>
    </row>
    <row r="12" spans="2:12">
      <c r="B12" s="71" t="s">
        <v>108</v>
      </c>
      <c r="C12" s="100">
        <f>C8+C10</f>
        <v>2000</v>
      </c>
      <c r="D12" s="100">
        <f t="shared" ref="D12:I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93">
        <f t="shared" ref="J12" si="1">J8+J10</f>
        <v>14500</v>
      </c>
      <c r="L12" t="s">
        <v>1</v>
      </c>
    </row>
    <row r="13" spans="2:12">
      <c r="B13" s="71"/>
      <c r="C13" s="100"/>
      <c r="D13" s="100"/>
      <c r="E13" s="100"/>
      <c r="F13" s="100"/>
      <c r="G13" s="137"/>
      <c r="H13" s="137"/>
      <c r="I13" s="137"/>
      <c r="J13" s="91"/>
    </row>
    <row r="14" spans="2:12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93">
        <f>'April-2'!D30</f>
        <v>-3000</v>
      </c>
    </row>
    <row r="15" spans="2:12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93">
        <f>'April-2'!D31</f>
        <v>-3900</v>
      </c>
    </row>
    <row r="16" spans="2:12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93">
        <f>'April-2'!D32</f>
        <v>-1500</v>
      </c>
    </row>
    <row r="17" spans="2:10">
      <c r="B17" s="71"/>
      <c r="C17" s="100"/>
      <c r="D17" s="100"/>
      <c r="E17" s="100"/>
      <c r="F17" s="100"/>
      <c r="G17" s="137"/>
      <c r="H17" s="137"/>
      <c r="I17" s="137"/>
      <c r="J17" s="91"/>
    </row>
    <row r="18" spans="2:10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>H12+H14+H15+H16</f>
        <v>4700</v>
      </c>
      <c r="I18" s="136">
        <f>I12+I14+I15+I16</f>
        <v>1900</v>
      </c>
      <c r="J18" s="93">
        <f>J12+J14+J15+J16</f>
        <v>6100</v>
      </c>
    </row>
    <row r="19" spans="2:10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94"/>
    </row>
    <row r="20" spans="2:10">
      <c r="B20" s="71"/>
      <c r="C20" s="100"/>
      <c r="D20" s="100"/>
      <c r="E20" s="100"/>
      <c r="F20" s="100"/>
      <c r="G20" s="136"/>
      <c r="H20" s="136"/>
      <c r="I20" s="136"/>
      <c r="J20" s="93"/>
    </row>
    <row r="21" spans="2:10">
      <c r="B21" s="71" t="s">
        <v>144</v>
      </c>
      <c r="C21" s="100">
        <f>C18+C19</f>
        <v>1000</v>
      </c>
      <c r="D21" s="100">
        <f t="shared" ref="D21:I21" si="3">D18+D19</f>
        <v>2000</v>
      </c>
      <c r="E21" s="100">
        <f t="shared" si="3"/>
        <v>3700</v>
      </c>
      <c r="F21" s="100">
        <f t="shared" si="3"/>
        <v>6700</v>
      </c>
      <c r="G21" s="139">
        <f t="shared" si="3"/>
        <v>200</v>
      </c>
      <c r="H21" s="139">
        <f t="shared" si="3"/>
        <v>4700</v>
      </c>
      <c r="I21" s="139">
        <f t="shared" si="3"/>
        <v>1900</v>
      </c>
      <c r="J21" s="71">
        <f t="shared" ref="J21" si="4">J18+J19</f>
        <v>6100</v>
      </c>
    </row>
    <row r="22" spans="2:10">
      <c r="B22" s="71"/>
      <c r="C22" s="100"/>
      <c r="D22" s="100"/>
      <c r="E22" s="100"/>
      <c r="F22" s="100"/>
      <c r="G22" s="139"/>
      <c r="H22" s="139"/>
      <c r="I22" s="139"/>
      <c r="J22" s="71"/>
    </row>
    <row r="23" spans="2:10">
      <c r="B23" s="71" t="s">
        <v>263</v>
      </c>
      <c r="C23" s="99"/>
      <c r="D23" s="99"/>
      <c r="E23" s="99"/>
      <c r="F23" s="99"/>
      <c r="G23" s="140"/>
      <c r="H23" s="140"/>
      <c r="I23" s="140"/>
      <c r="J23" s="72">
        <f>'April-2'!D36</f>
        <v>-240</v>
      </c>
    </row>
    <row r="24" spans="2:10">
      <c r="B24" s="71"/>
      <c r="C24" s="100"/>
      <c r="D24" s="100"/>
      <c r="E24" s="100"/>
      <c r="F24" s="100"/>
      <c r="G24" s="139"/>
      <c r="H24" s="139"/>
      <c r="I24" s="139"/>
      <c r="J24" s="71"/>
    </row>
    <row r="25" spans="2:10">
      <c r="B25" s="71" t="s">
        <v>264</v>
      </c>
      <c r="C25" s="100"/>
      <c r="D25" s="100"/>
      <c r="E25" s="100"/>
      <c r="F25" s="100"/>
      <c r="G25" s="139"/>
      <c r="H25" s="139"/>
      <c r="I25" s="139"/>
      <c r="J25" s="71">
        <f>J21+J23</f>
        <v>5860</v>
      </c>
    </row>
    <row r="26" spans="2:10">
      <c r="B26" s="71"/>
      <c r="C26" s="100"/>
      <c r="D26" s="100"/>
      <c r="E26" s="100"/>
      <c r="F26" s="100"/>
      <c r="G26" s="137"/>
      <c r="H26" s="137"/>
      <c r="I26" s="137"/>
      <c r="J26" s="91"/>
    </row>
    <row r="27" spans="2:10">
      <c r="B27" s="71" t="s">
        <v>265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0">
        <f t="shared" si="5"/>
        <v>-40</v>
      </c>
      <c r="H27" s="140">
        <f t="shared" si="5"/>
        <v>-940</v>
      </c>
      <c r="I27" s="140">
        <f t="shared" si="5"/>
        <v>-380</v>
      </c>
      <c r="J27" s="72">
        <f>'April-2'!D40</f>
        <v>-1172</v>
      </c>
    </row>
    <row r="28" spans="2:10">
      <c r="B28" s="71"/>
      <c r="C28" s="100"/>
      <c r="D28" s="100"/>
      <c r="E28" s="100"/>
      <c r="F28" s="100"/>
      <c r="G28" s="137"/>
      <c r="H28" s="137"/>
      <c r="I28" s="137"/>
      <c r="J28" s="91"/>
    </row>
    <row r="29" spans="2:10">
      <c r="B29" s="71" t="s">
        <v>167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39">
        <f t="shared" si="6"/>
        <v>160</v>
      </c>
      <c r="H29" s="139">
        <f t="shared" si="6"/>
        <v>3760</v>
      </c>
      <c r="I29" s="139">
        <f t="shared" si="6"/>
        <v>1520</v>
      </c>
      <c r="J29" s="71">
        <f>J25+J27</f>
        <v>4688</v>
      </c>
    </row>
    <row r="30" spans="2:10">
      <c r="B30" s="53"/>
      <c r="C30" s="104"/>
      <c r="D30" s="104"/>
      <c r="E30" s="104"/>
      <c r="F30" s="104"/>
      <c r="G30" s="135"/>
      <c r="H30" s="135"/>
      <c r="I30" s="135"/>
      <c r="J30" s="92"/>
    </row>
    <row r="46" spans="2:10">
      <c r="B46" s="50"/>
      <c r="C46" s="102"/>
      <c r="D46" s="102"/>
      <c r="E46" s="102"/>
      <c r="F46" s="102"/>
      <c r="G46" s="133"/>
      <c r="H46" s="133"/>
      <c r="I46" s="133"/>
      <c r="J46" s="90"/>
    </row>
    <row r="47" spans="2:10" ht="19">
      <c r="B47" s="80" t="s">
        <v>21</v>
      </c>
      <c r="C47" s="103" t="s">
        <v>147</v>
      </c>
      <c r="D47" s="103" t="s">
        <v>148</v>
      </c>
      <c r="E47" s="103" t="s">
        <v>149</v>
      </c>
      <c r="F47" s="103" t="s">
        <v>150</v>
      </c>
      <c r="G47" s="134" t="s">
        <v>171</v>
      </c>
      <c r="H47" s="134" t="s">
        <v>190</v>
      </c>
      <c r="I47" s="134" t="s">
        <v>192</v>
      </c>
      <c r="J47" s="70" t="s">
        <v>195</v>
      </c>
    </row>
    <row r="48" spans="2:10">
      <c r="B48" s="53"/>
      <c r="C48" s="104"/>
      <c r="D48" s="104"/>
      <c r="E48" s="104"/>
      <c r="F48" s="104"/>
      <c r="G48" s="135"/>
      <c r="H48" s="135"/>
      <c r="I48" s="135"/>
      <c r="J48" s="92"/>
    </row>
    <row r="49" spans="2:10">
      <c r="B49" s="50"/>
      <c r="C49" s="102"/>
      <c r="D49" s="102"/>
      <c r="E49" s="102"/>
      <c r="F49" s="102"/>
      <c r="G49" s="133"/>
      <c r="H49" s="133"/>
      <c r="I49" s="133"/>
      <c r="J49" s="90"/>
    </row>
    <row r="50" spans="2:10">
      <c r="B50" s="71" t="s">
        <v>65</v>
      </c>
      <c r="C50" s="105">
        <f t="shared" ref="C50:I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1">
        <f t="shared" si="7"/>
        <v>1</v>
      </c>
      <c r="H50" s="141">
        <f t="shared" si="7"/>
        <v>1</v>
      </c>
      <c r="I50" s="141">
        <f t="shared" si="7"/>
        <v>1</v>
      </c>
      <c r="J50" s="95">
        <f t="shared" ref="J50" si="8">J8/J$8</f>
        <v>1</v>
      </c>
    </row>
    <row r="51" spans="2:10">
      <c r="B51" s="71"/>
      <c r="C51" s="100"/>
      <c r="D51" s="100"/>
      <c r="E51" s="100"/>
      <c r="F51" s="100"/>
      <c r="G51" s="136"/>
      <c r="H51" s="136"/>
      <c r="I51" s="136"/>
      <c r="J51" s="93"/>
    </row>
    <row r="52" spans="2:10">
      <c r="B52" s="71" t="s">
        <v>187</v>
      </c>
      <c r="C52" s="106">
        <f t="shared" ref="C52:I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2">
        <f t="shared" si="9"/>
        <v>-0.72727272727272729</v>
      </c>
      <c r="H52" s="142">
        <f t="shared" si="9"/>
        <v>-0.72463768115942029</v>
      </c>
      <c r="I52" s="142">
        <f t="shared" si="9"/>
        <v>-0.72727272727272729</v>
      </c>
      <c r="J52" s="96">
        <f t="shared" ref="J52" si="10">J10/J$8</f>
        <v>-0.72380952380952379</v>
      </c>
    </row>
    <row r="53" spans="2:10">
      <c r="B53" s="71"/>
      <c r="C53" s="100"/>
      <c r="D53" s="100"/>
      <c r="E53" s="100"/>
      <c r="F53" s="100"/>
      <c r="G53" s="136"/>
      <c r="H53" s="136"/>
      <c r="I53" s="136"/>
      <c r="J53" s="93"/>
    </row>
    <row r="54" spans="2:10">
      <c r="B54" s="71" t="s">
        <v>108</v>
      </c>
      <c r="C54" s="105">
        <f t="shared" ref="C54:I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1">
        <f t="shared" si="11"/>
        <v>0.27272727272727271</v>
      </c>
      <c r="H54" s="141">
        <f t="shared" si="11"/>
        <v>0.27536231884057971</v>
      </c>
      <c r="I54" s="141">
        <f t="shared" si="11"/>
        <v>0.27272727272727271</v>
      </c>
      <c r="J54" s="95">
        <f t="shared" ref="J54" si="12">J12/J$8</f>
        <v>0.27619047619047621</v>
      </c>
    </row>
    <row r="55" spans="2:10">
      <c r="B55" s="71"/>
      <c r="C55" s="100"/>
      <c r="D55" s="100"/>
      <c r="E55" s="100"/>
      <c r="F55" s="100"/>
      <c r="G55" s="136"/>
      <c r="H55" s="136"/>
      <c r="I55" s="136"/>
      <c r="J55" s="93"/>
    </row>
    <row r="56" spans="2:10">
      <c r="B56" s="71" t="s">
        <v>99</v>
      </c>
      <c r="C56" s="105">
        <f t="shared" ref="C56:I56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1">
        <f t="shared" si="13"/>
        <v>-7.2727272727272724E-2</v>
      </c>
      <c r="H56" s="141">
        <f t="shared" si="13"/>
        <v>-5.7971014492753624E-2</v>
      </c>
      <c r="I56" s="141">
        <f t="shared" si="13"/>
        <v>-7.792207792207792E-2</v>
      </c>
      <c r="J56" s="95">
        <f t="shared" ref="J56" si="14">J14/J$8</f>
        <v>-5.7142857142857141E-2</v>
      </c>
    </row>
    <row r="57" spans="2:10">
      <c r="B57" s="71" t="s">
        <v>100</v>
      </c>
      <c r="C57" s="100"/>
      <c r="D57" s="100"/>
      <c r="E57" s="105">
        <f t="shared" ref="E57:J57" si="15">E15/E$8</f>
        <v>-4.8148148148148148E-2</v>
      </c>
      <c r="F57" s="105">
        <f t="shared" si="15"/>
        <v>-3.6111111111111108E-2</v>
      </c>
      <c r="G57" s="141">
        <f t="shared" si="15"/>
        <v>-4.7272727272727272E-2</v>
      </c>
      <c r="H57" s="141">
        <f t="shared" si="15"/>
        <v>-3.7681159420289857E-2</v>
      </c>
      <c r="I57" s="141">
        <f t="shared" si="15"/>
        <v>-6.7532467532467527E-2</v>
      </c>
      <c r="J57" s="95">
        <f t="shared" si="15"/>
        <v>-7.4285714285714288E-2</v>
      </c>
    </row>
    <row r="58" spans="2:10">
      <c r="B58" s="71" t="s">
        <v>188</v>
      </c>
      <c r="C58" s="99"/>
      <c r="D58" s="99"/>
      <c r="E58" s="99"/>
      <c r="F58" s="99"/>
      <c r="G58" s="138"/>
      <c r="H58" s="142">
        <f>H16/H$8</f>
        <v>-4.3478260869565216E-2</v>
      </c>
      <c r="I58" s="142">
        <f>I16/I$8</f>
        <v>-7.792207792207792E-2</v>
      </c>
      <c r="J58" s="96">
        <f>J16/J$8</f>
        <v>-2.8571428571428571E-2</v>
      </c>
    </row>
    <row r="59" spans="2:10">
      <c r="B59" s="71"/>
      <c r="C59" s="100"/>
      <c r="D59" s="100"/>
      <c r="E59" s="100"/>
      <c r="F59" s="100"/>
      <c r="G59" s="136"/>
      <c r="H59" s="136"/>
      <c r="I59" s="136"/>
      <c r="J59" s="93"/>
    </row>
    <row r="60" spans="2:10">
      <c r="B60" s="71" t="s">
        <v>181</v>
      </c>
      <c r="C60" s="105">
        <f t="shared" ref="C60:I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1">
        <f t="shared" si="16"/>
        <v>0.15272727272727274</v>
      </c>
      <c r="H60" s="141">
        <f t="shared" si="16"/>
        <v>0.13623188405797101</v>
      </c>
      <c r="I60" s="141">
        <f t="shared" si="16"/>
        <v>4.9350649350649353E-2</v>
      </c>
      <c r="J60" s="95">
        <f t="shared" ref="J60" si="17">J18/J$8</f>
        <v>0.11619047619047619</v>
      </c>
    </row>
    <row r="61" spans="2:10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96"/>
    </row>
    <row r="62" spans="2:10">
      <c r="B62" s="71"/>
      <c r="C62" s="105"/>
      <c r="D62" s="105"/>
      <c r="E62" s="105"/>
      <c r="F62" s="105"/>
      <c r="G62" s="141"/>
      <c r="H62" s="141"/>
      <c r="I62" s="141"/>
      <c r="J62" s="95"/>
    </row>
    <row r="63" spans="2:10">
      <c r="B63" s="71" t="s">
        <v>144</v>
      </c>
      <c r="C63" s="105">
        <f>C60+C61</f>
        <v>0.16666666666666666</v>
      </c>
      <c r="D63" s="105">
        <f t="shared" ref="D63:I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3">
        <f t="shared" si="18"/>
        <v>7.2727272727272918E-3</v>
      </c>
      <c r="H63" s="143">
        <f t="shared" si="18"/>
        <v>0.13623188405797101</v>
      </c>
      <c r="I63" s="143">
        <f t="shared" si="18"/>
        <v>4.9350649350649353E-2</v>
      </c>
      <c r="J63" s="107">
        <f t="shared" ref="J63" si="19">J60+J61</f>
        <v>0.11619047619047619</v>
      </c>
    </row>
    <row r="64" spans="2:10">
      <c r="B64" s="71"/>
      <c r="C64" s="105"/>
      <c r="D64" s="105"/>
      <c r="E64" s="105"/>
      <c r="F64" s="105"/>
      <c r="G64" s="143"/>
      <c r="H64" s="143"/>
      <c r="I64" s="143"/>
      <c r="J64" s="107"/>
    </row>
    <row r="65" spans="2:10">
      <c r="B65" s="71" t="s">
        <v>263</v>
      </c>
      <c r="C65" s="106"/>
      <c r="D65" s="106"/>
      <c r="E65" s="106"/>
      <c r="F65" s="106"/>
      <c r="G65" s="144"/>
      <c r="H65" s="144"/>
      <c r="I65" s="144"/>
      <c r="J65" s="96">
        <f>J23/J$8</f>
        <v>-4.5714285714285718E-3</v>
      </c>
    </row>
    <row r="66" spans="2:10">
      <c r="B66" s="71"/>
      <c r="C66" s="105"/>
      <c r="D66" s="105"/>
      <c r="E66" s="105"/>
      <c r="F66" s="105"/>
      <c r="G66" s="143"/>
      <c r="H66" s="143"/>
      <c r="I66" s="143"/>
      <c r="J66" s="107"/>
    </row>
    <row r="67" spans="2:10">
      <c r="B67" s="71" t="s">
        <v>264</v>
      </c>
      <c r="C67" s="105"/>
      <c r="D67" s="105"/>
      <c r="E67" s="105"/>
      <c r="F67" s="105"/>
      <c r="G67" s="143"/>
      <c r="H67" s="143"/>
      <c r="I67" s="143"/>
      <c r="J67" s="107">
        <f>J63+J65</f>
        <v>0.11161904761904762</v>
      </c>
    </row>
    <row r="68" spans="2:10">
      <c r="B68" s="71"/>
      <c r="C68" s="100"/>
      <c r="D68" s="100"/>
      <c r="E68" s="100"/>
      <c r="F68" s="100"/>
      <c r="G68" s="136"/>
      <c r="H68" s="136"/>
      <c r="I68" s="136"/>
      <c r="J68" s="93"/>
    </row>
    <row r="69" spans="2:10">
      <c r="B69" s="71" t="s">
        <v>265</v>
      </c>
      <c r="C69" s="106">
        <f t="shared" ref="C69:I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2">
        <f t="shared" si="20"/>
        <v>-1.4545454545454545E-3</v>
      </c>
      <c r="H69" s="142">
        <f t="shared" si="20"/>
        <v>-2.7246376811594204E-2</v>
      </c>
      <c r="I69" s="142">
        <f t="shared" si="20"/>
        <v>-9.870129870129871E-3</v>
      </c>
      <c r="J69" s="96">
        <f t="shared" ref="J69" si="21">J27/J$8</f>
        <v>-2.2323809523809524E-2</v>
      </c>
    </row>
    <row r="70" spans="2:10">
      <c r="B70" s="71"/>
      <c r="C70" s="100"/>
      <c r="D70" s="100"/>
      <c r="E70" s="100"/>
      <c r="F70" s="100"/>
      <c r="G70" s="136"/>
      <c r="H70" s="136"/>
      <c r="I70" s="136"/>
      <c r="J70" s="93"/>
    </row>
    <row r="71" spans="2:10">
      <c r="B71" s="71" t="s">
        <v>167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1">
        <f t="shared" si="22"/>
        <v>5.8181818181818178E-3</v>
      </c>
      <c r="H71" s="141">
        <f t="shared" si="22"/>
        <v>0.10898550724637682</v>
      </c>
      <c r="I71" s="141">
        <f t="shared" si="22"/>
        <v>3.9480519480519484E-2</v>
      </c>
      <c r="J71" s="95">
        <f>J67+J69</f>
        <v>8.9295238095238094E-2</v>
      </c>
    </row>
    <row r="72" spans="2:10">
      <c r="B72" s="53"/>
      <c r="C72" s="104"/>
      <c r="D72" s="104"/>
      <c r="E72" s="104"/>
      <c r="F72" s="104"/>
      <c r="G72" s="135"/>
      <c r="H72" s="135"/>
      <c r="I72" s="135"/>
      <c r="J72" s="92"/>
    </row>
    <row r="88" spans="2:10" s="75" customFormat="1">
      <c r="B88" s="86"/>
      <c r="C88" s="102"/>
      <c r="D88" s="102"/>
      <c r="E88" s="102"/>
      <c r="F88" s="102"/>
      <c r="G88" s="133"/>
      <c r="H88" s="133"/>
      <c r="I88" s="133"/>
      <c r="J88" s="90"/>
    </row>
    <row r="89" spans="2:10" s="75" customFormat="1" ht="19">
      <c r="B89" s="80" t="s">
        <v>152</v>
      </c>
      <c r="C89" s="103" t="s">
        <v>147</v>
      </c>
      <c r="D89" s="103" t="s">
        <v>148</v>
      </c>
      <c r="E89" s="103" t="s">
        <v>149</v>
      </c>
      <c r="F89" s="103" t="s">
        <v>150</v>
      </c>
      <c r="G89" s="134" t="s">
        <v>171</v>
      </c>
      <c r="H89" s="134" t="s">
        <v>190</v>
      </c>
      <c r="I89" s="134" t="s">
        <v>192</v>
      </c>
      <c r="J89" s="70" t="s">
        <v>195</v>
      </c>
    </row>
    <row r="90" spans="2:10" s="75" customFormat="1">
      <c r="B90" s="72"/>
      <c r="C90" s="104"/>
      <c r="D90" s="104"/>
      <c r="E90" s="104"/>
      <c r="F90" s="104"/>
      <c r="G90" s="135"/>
      <c r="H90" s="135"/>
      <c r="I90" s="135"/>
      <c r="J90" s="92"/>
    </row>
    <row r="91" spans="2:10" s="75" customFormat="1">
      <c r="B91" s="86"/>
      <c r="C91" s="97"/>
      <c r="D91" s="97"/>
      <c r="E91" s="97"/>
      <c r="F91" s="97"/>
      <c r="G91" s="145"/>
      <c r="H91" s="145"/>
      <c r="I91" s="145"/>
      <c r="J91" s="86"/>
    </row>
    <row r="92" spans="2:10" s="75" customFormat="1">
      <c r="B92" s="71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71">
        <f>'April-2'!C100</f>
        <v>14300</v>
      </c>
    </row>
    <row r="93" spans="2:10" s="75" customFormat="1">
      <c r="B93" s="71"/>
      <c r="C93" s="100"/>
      <c r="D93" s="100"/>
      <c r="E93" s="100"/>
      <c r="F93" s="100"/>
      <c r="G93" s="139"/>
      <c r="H93" s="139"/>
      <c r="I93" s="139"/>
      <c r="J93" s="71"/>
    </row>
    <row r="94" spans="2:10" s="75" customFormat="1">
      <c r="B94" s="71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71">
        <f>'April-2'!C101</f>
        <v>22500</v>
      </c>
    </row>
    <row r="95" spans="2:10" s="75" customFormat="1">
      <c r="B95" s="71"/>
      <c r="C95" s="100"/>
      <c r="D95" s="100"/>
      <c r="E95" s="100"/>
      <c r="F95" s="100"/>
      <c r="G95" s="139"/>
      <c r="H95" s="139"/>
      <c r="I95" s="139"/>
      <c r="J95" s="71"/>
    </row>
    <row r="96" spans="2:10" s="75" customFormat="1">
      <c r="B96" s="71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71">
        <f>-'April-2'!E101</f>
        <v>-19400</v>
      </c>
    </row>
    <row r="97" spans="2:10" s="75" customFormat="1">
      <c r="B97" s="71"/>
      <c r="C97" s="99"/>
      <c r="D97" s="99"/>
      <c r="E97" s="99"/>
      <c r="F97" s="99"/>
      <c r="G97" s="140"/>
      <c r="H97" s="140"/>
      <c r="I97" s="140"/>
      <c r="J97" s="72"/>
    </row>
    <row r="98" spans="2:10" s="75" customFormat="1">
      <c r="B98" s="71"/>
      <c r="C98" s="100"/>
      <c r="D98" s="100"/>
      <c r="E98" s="100"/>
      <c r="F98" s="100"/>
      <c r="G98" s="139"/>
      <c r="H98" s="139"/>
      <c r="I98" s="139"/>
      <c r="J98" s="71"/>
    </row>
    <row r="99" spans="2:10" s="75" customFormat="1">
      <c r="B99" s="74" t="s">
        <v>155</v>
      </c>
      <c r="C99" s="101">
        <f>C92+C94+C96</f>
        <v>0</v>
      </c>
      <c r="D99" s="101">
        <f t="shared" ref="D99:I99" si="23">D92+D94+D96</f>
        <v>1000</v>
      </c>
      <c r="E99" s="101">
        <f t="shared" si="23"/>
        <v>10000</v>
      </c>
      <c r="F99" s="101">
        <f t="shared" si="23"/>
        <v>13000</v>
      </c>
      <c r="G99" s="147">
        <f t="shared" si="23"/>
        <v>8500</v>
      </c>
      <c r="H99" s="147">
        <f t="shared" si="23"/>
        <v>9000</v>
      </c>
      <c r="I99" s="147">
        <f t="shared" si="23"/>
        <v>12000</v>
      </c>
      <c r="J99" s="74">
        <f t="shared" ref="J99" si="24">J92+J94+J96</f>
        <v>17400</v>
      </c>
    </row>
    <row r="100" spans="2:10" s="75" customFormat="1">
      <c r="B100" s="72"/>
      <c r="C100" s="99"/>
      <c r="D100" s="99"/>
      <c r="E100" s="99"/>
      <c r="F100" s="99"/>
      <c r="G100" s="140"/>
      <c r="H100" s="140"/>
      <c r="I100" s="140"/>
      <c r="J100" s="7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5005-5C3A-E04A-B2D0-562EF06E2357}">
  <dimension ref="B2:M131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29.83203125" style="1" customWidth="1"/>
    <col min="3" max="3" width="23.5" style="1" customWidth="1"/>
    <col min="4" max="4" width="24.33203125" style="1" customWidth="1"/>
    <col min="5" max="5" width="8.5" style="1" customWidth="1"/>
    <col min="6" max="6" width="14" style="2" customWidth="1"/>
    <col min="7" max="7" width="8.83203125" style="1" customWidth="1"/>
    <col min="8" max="8" width="7.1640625" style="1" customWidth="1"/>
    <col min="9" max="9" width="9.5" style="1" customWidth="1"/>
    <col min="10" max="10" width="11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7" t="s">
        <v>233</v>
      </c>
    </row>
    <row r="3" spans="2:12" ht="19">
      <c r="B3" s="304" t="s">
        <v>115</v>
      </c>
      <c r="C3" s="83" t="s">
        <v>116</v>
      </c>
      <c r="D3" s="83" t="s">
        <v>117</v>
      </c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7" t="s">
        <v>268</v>
      </c>
      <c r="I5" s="10"/>
      <c r="J5" s="9"/>
      <c r="K5" s="1">
        <f>'Investment project Q2'!H12</f>
        <v>2900</v>
      </c>
      <c r="L5" s="61"/>
    </row>
    <row r="6" spans="2:12">
      <c r="B6" s="71" t="s">
        <v>259</v>
      </c>
      <c r="C6" s="83">
        <v>1</v>
      </c>
      <c r="D6" s="83">
        <f>MAN</f>
        <v>2000</v>
      </c>
      <c r="F6" s="9"/>
      <c r="I6" s="10"/>
      <c r="J6" s="9"/>
      <c r="L6" s="10"/>
    </row>
    <row r="7" spans="2:12">
      <c r="B7" s="71"/>
      <c r="C7" s="83"/>
      <c r="D7" s="83"/>
      <c r="F7" s="177" t="s">
        <v>269</v>
      </c>
      <c r="I7" s="321">
        <v>0.3</v>
      </c>
      <c r="J7" s="9"/>
      <c r="K7" s="1">
        <f>I7*K5</f>
        <v>870</v>
      </c>
      <c r="L7" s="61"/>
    </row>
    <row r="8" spans="2:12">
      <c r="B8" s="71" t="s">
        <v>35</v>
      </c>
      <c r="C8" s="83">
        <v>1</v>
      </c>
      <c r="D8" s="83">
        <f>ADOP</f>
        <v>1000</v>
      </c>
      <c r="F8" s="9"/>
      <c r="I8" s="10"/>
      <c r="J8" s="9"/>
      <c r="L8" s="10"/>
    </row>
    <row r="9" spans="2:12">
      <c r="B9" s="71"/>
      <c r="C9" s="83"/>
      <c r="D9" s="83"/>
      <c r="F9" s="177" t="s">
        <v>270</v>
      </c>
      <c r="I9" s="10"/>
      <c r="J9" s="9"/>
      <c r="K9" s="1">
        <f>K7+L30-H30</f>
        <v>2520</v>
      </c>
      <c r="L9" s="61"/>
    </row>
    <row r="10" spans="2:12">
      <c r="B10" s="71" t="s">
        <v>65</v>
      </c>
      <c r="C10" s="83">
        <v>3</v>
      </c>
      <c r="D10" s="83">
        <f>MKT</f>
        <v>1300</v>
      </c>
      <c r="F10" s="177"/>
      <c r="I10" s="10"/>
      <c r="J10" s="9"/>
      <c r="L10" s="61"/>
    </row>
    <row r="11" spans="2:12">
      <c r="B11" s="71"/>
      <c r="C11" s="83"/>
      <c r="D11" s="83"/>
      <c r="F11" s="177" t="s">
        <v>266</v>
      </c>
      <c r="I11" s="10"/>
      <c r="J11" s="9"/>
      <c r="K11" s="317">
        <f>K9*CMP</f>
        <v>40320</v>
      </c>
      <c r="L11" s="61"/>
    </row>
    <row r="12" spans="2:12">
      <c r="B12" s="71" t="s">
        <v>260</v>
      </c>
      <c r="C12" s="83">
        <v>1</v>
      </c>
      <c r="D12" s="83">
        <f>ING</f>
        <v>1500</v>
      </c>
      <c r="F12" s="177" t="s">
        <v>235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7" t="s">
        <v>236</v>
      </c>
      <c r="I13" s="10"/>
      <c r="J13" s="9"/>
      <c r="K13" s="1">
        <f>C18*ADOP</f>
        <v>6000</v>
      </c>
      <c r="L13" s="61"/>
    </row>
    <row r="14" spans="2:12">
      <c r="B14" s="71" t="s">
        <v>36</v>
      </c>
      <c r="C14" s="83">
        <v>0</v>
      </c>
      <c r="D14" s="83">
        <f>ING</f>
        <v>1500</v>
      </c>
      <c r="F14" s="177" t="s">
        <v>212</v>
      </c>
      <c r="I14" s="10"/>
      <c r="J14" s="9"/>
      <c r="K14" s="11">
        <f>'Investment project Q2'!C18/'Investment project Q2'!G18</f>
        <v>1000</v>
      </c>
      <c r="L14" s="61"/>
    </row>
    <row r="15" spans="2:12">
      <c r="B15" s="71"/>
      <c r="C15" s="83"/>
      <c r="D15" s="83"/>
      <c r="F15" s="177"/>
      <c r="I15" s="10"/>
      <c r="J15" s="9"/>
      <c r="L15" s="10"/>
    </row>
    <row r="16" spans="2:12">
      <c r="B16" s="71" t="s">
        <v>25</v>
      </c>
      <c r="C16" s="83"/>
      <c r="D16" s="83"/>
      <c r="F16" s="9" t="s">
        <v>124</v>
      </c>
      <c r="I16" s="10"/>
      <c r="J16" s="9"/>
      <c r="K16" s="329">
        <f>SUM(K11:K14)</f>
        <v>48820</v>
      </c>
      <c r="L16" s="10"/>
    </row>
    <row r="17" spans="2:13">
      <c r="B17" s="71" t="s">
        <v>261</v>
      </c>
      <c r="C17" s="83"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262</v>
      </c>
      <c r="C18" s="83">
        <v>6</v>
      </c>
      <c r="D18" s="83">
        <f>ADOP</f>
        <v>1000</v>
      </c>
      <c r="F18" s="177" t="s">
        <v>237</v>
      </c>
      <c r="I18" s="10"/>
      <c r="J18" s="9"/>
      <c r="K18" s="318">
        <f>K16/K9</f>
        <v>19.373015873015873</v>
      </c>
      <c r="L18" s="19" t="s">
        <v>14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64</v>
      </c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D24" s="1">
        <f>F24*H24+J24*L24</f>
        <v>60500</v>
      </c>
      <c r="F24" s="9">
        <f>'Investment project Q2'!G9</f>
        <v>1100</v>
      </c>
      <c r="G24" s="2" t="s">
        <v>70</v>
      </c>
      <c r="H24" s="1">
        <f>PVB2C</f>
        <v>30</v>
      </c>
      <c r="I24" s="349" t="s">
        <v>71</v>
      </c>
      <c r="J24" s="9">
        <f>'Investment project Q2'!G10</f>
        <v>1100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I25" s="349"/>
      <c r="J25" s="9"/>
      <c r="K25" s="2"/>
      <c r="M25" s="349"/>
    </row>
    <row r="26" spans="2:13">
      <c r="B26" s="1" t="s">
        <v>66</v>
      </c>
      <c r="D26" s="33">
        <f>-L35</f>
        <v>-46265.476190476191</v>
      </c>
      <c r="F26" s="7">
        <f>F24</f>
        <v>1100</v>
      </c>
      <c r="G26" s="25" t="s">
        <v>70</v>
      </c>
      <c r="H26" s="337">
        <f>K35</f>
        <v>21.029761904761905</v>
      </c>
      <c r="I26" s="350" t="s">
        <v>71</v>
      </c>
      <c r="J26" s="7">
        <f>J24</f>
        <v>1100</v>
      </c>
      <c r="K26" s="25" t="s">
        <v>70</v>
      </c>
      <c r="L26" s="337">
        <f>K35</f>
        <v>21.029761904761905</v>
      </c>
      <c r="M26" s="350" t="s">
        <v>71</v>
      </c>
    </row>
    <row r="28" spans="2:13">
      <c r="B28" s="1" t="s">
        <v>67</v>
      </c>
      <c r="D28" s="1">
        <f>D24+D26</f>
        <v>14234.523809523809</v>
      </c>
      <c r="F28" s="1"/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D30" s="1">
        <f>-(C6*MAN+C8*ADOP)</f>
        <v>-3000</v>
      </c>
      <c r="F30" s="5" t="s">
        <v>94</v>
      </c>
      <c r="H30" s="1">
        <f>'April-2'!L41</f>
        <v>550</v>
      </c>
      <c r="J30" s="1" t="s">
        <v>65</v>
      </c>
      <c r="L30" s="10">
        <f>F24+J24</f>
        <v>2200</v>
      </c>
    </row>
    <row r="31" spans="2:13">
      <c r="B31" s="1" t="s">
        <v>100</v>
      </c>
      <c r="D31" s="1">
        <f>-C10*MKT</f>
        <v>-3900</v>
      </c>
      <c r="F31" s="13" t="s">
        <v>25</v>
      </c>
      <c r="G31" s="11"/>
      <c r="H31" s="11">
        <f>L30+L31-H30</f>
        <v>2520</v>
      </c>
      <c r="I31" s="11"/>
      <c r="J31" s="11" t="s">
        <v>90</v>
      </c>
      <c r="K31" s="11"/>
      <c r="L31" s="8">
        <f>K7</f>
        <v>870</v>
      </c>
    </row>
    <row r="32" spans="2:13">
      <c r="B32" s="31" t="s">
        <v>188</v>
      </c>
      <c r="D32" s="11">
        <f>-C12*ING</f>
        <v>-1500</v>
      </c>
      <c r="F32" s="14" t="s">
        <v>6</v>
      </c>
      <c r="G32" s="15"/>
      <c r="H32" s="15">
        <f>H30+H31</f>
        <v>3070</v>
      </c>
      <c r="I32" s="15"/>
      <c r="J32" s="16" t="s">
        <v>6</v>
      </c>
      <c r="K32" s="15"/>
      <c r="L32" s="17">
        <f>L30+L31</f>
        <v>3070</v>
      </c>
    </row>
    <row r="33" spans="2:12">
      <c r="B33" s="31"/>
      <c r="J33" s="2"/>
    </row>
    <row r="34" spans="2:12">
      <c r="B34" s="1" t="s">
        <v>250</v>
      </c>
      <c r="D34" s="1">
        <f>D28+D31+D30+D32</f>
        <v>5834.5238095238092</v>
      </c>
      <c r="F34" s="14"/>
      <c r="G34" s="15"/>
      <c r="H34" s="15"/>
      <c r="I34" s="24" t="s">
        <v>113</v>
      </c>
      <c r="J34" s="15"/>
      <c r="K34" s="15"/>
      <c r="L34" s="17"/>
    </row>
    <row r="35" spans="2:12">
      <c r="F35" s="5" t="s">
        <v>94</v>
      </c>
      <c r="H35" s="1">
        <f>'April-2'!L46</f>
        <v>14300</v>
      </c>
      <c r="I35" s="334">
        <f>'April-2'!K16</f>
        <v>26</v>
      </c>
      <c r="J35" s="1" t="s">
        <v>120</v>
      </c>
      <c r="K35" s="336">
        <f>L44</f>
        <v>21.029761904761905</v>
      </c>
      <c r="L35" s="32">
        <f>H35+H36-L36</f>
        <v>46265.476190476191</v>
      </c>
    </row>
    <row r="36" spans="2:12">
      <c r="B36" s="1" t="s">
        <v>238</v>
      </c>
      <c r="D36" s="1">
        <f>-'Investment project Q2'!C82</f>
        <v>-240</v>
      </c>
      <c r="F36" s="129" t="s">
        <v>119</v>
      </c>
      <c r="G36" s="11"/>
      <c r="H36" s="328">
        <f>K16</f>
        <v>48820</v>
      </c>
      <c r="I36" s="335">
        <f>K18</f>
        <v>19.373015873015873</v>
      </c>
      <c r="J36" s="11" t="s">
        <v>90</v>
      </c>
      <c r="K36" s="335">
        <f>I36</f>
        <v>19.373015873015873</v>
      </c>
      <c r="L36" s="8">
        <f>L31*K18</f>
        <v>16854.523809523809</v>
      </c>
    </row>
    <row r="37" spans="2:12">
      <c r="F37" s="14" t="s">
        <v>6</v>
      </c>
      <c r="G37" s="15"/>
      <c r="H37" s="15">
        <f>H35+H36</f>
        <v>63120</v>
      </c>
      <c r="I37" s="15"/>
      <c r="J37" s="16" t="s">
        <v>6</v>
      </c>
      <c r="K37" s="15"/>
      <c r="L37" s="17">
        <f>L35+L36</f>
        <v>63120</v>
      </c>
    </row>
    <row r="38" spans="2:12">
      <c r="B38" s="1" t="s">
        <v>239</v>
      </c>
      <c r="D38" s="1">
        <f>D34+D36</f>
        <v>5594.5238095238092</v>
      </c>
      <c r="F38"/>
      <c r="G38"/>
      <c r="H38"/>
      <c r="I38"/>
    </row>
    <row r="39" spans="2:12">
      <c r="F39" s="29"/>
      <c r="G39" s="15"/>
      <c r="H39" s="15"/>
      <c r="I39" s="24" t="s">
        <v>114</v>
      </c>
      <c r="J39" s="15"/>
      <c r="K39" s="15"/>
      <c r="L39" s="17"/>
    </row>
    <row r="40" spans="2:12">
      <c r="B40" s="1" t="s">
        <v>240</v>
      </c>
      <c r="D40" s="11">
        <f>-D38*C75</f>
        <v>-1118.9047619047619</v>
      </c>
      <c r="F40" s="9"/>
      <c r="L40" s="10"/>
    </row>
    <row r="41" spans="2:12">
      <c r="F41" s="177" t="s">
        <v>121</v>
      </c>
      <c r="H41" s="2">
        <f>H30</f>
        <v>550</v>
      </c>
      <c r="I41" s="1" t="s">
        <v>46</v>
      </c>
      <c r="J41" s="338">
        <f>I35</f>
        <v>26</v>
      </c>
      <c r="K41" s="2" t="s">
        <v>23</v>
      </c>
      <c r="L41" s="6">
        <f>H41*J41</f>
        <v>14300</v>
      </c>
    </row>
    <row r="42" spans="2:12" ht="17" thickBot="1">
      <c r="B42" s="1" t="s">
        <v>241</v>
      </c>
      <c r="D42" s="1">
        <f>D38+D40</f>
        <v>4475.6190476190477</v>
      </c>
      <c r="F42" s="177" t="s">
        <v>122</v>
      </c>
      <c r="H42" s="342">
        <f>L30-H30</f>
        <v>1650</v>
      </c>
      <c r="I42" s="1" t="s">
        <v>46</v>
      </c>
      <c r="J42" s="341">
        <f>I36</f>
        <v>19.373015873015873</v>
      </c>
      <c r="K42" s="2" t="s">
        <v>23</v>
      </c>
      <c r="L42" s="6">
        <f>H42*J42</f>
        <v>31965.476190476191</v>
      </c>
    </row>
    <row r="43" spans="2:12">
      <c r="F43" s="5" t="s">
        <v>123</v>
      </c>
      <c r="H43" s="2">
        <f>H41+H42</f>
        <v>2200</v>
      </c>
      <c r="J43" s="36" t="s">
        <v>124</v>
      </c>
      <c r="K43" s="2" t="s">
        <v>23</v>
      </c>
      <c r="L43" s="340">
        <f>L41+L42</f>
        <v>46265.476190476191</v>
      </c>
    </row>
    <row r="44" spans="2:12">
      <c r="F44" s="13"/>
      <c r="G44" s="11"/>
      <c r="H44" s="11"/>
      <c r="I44" s="11"/>
      <c r="J44" s="112" t="s">
        <v>117</v>
      </c>
      <c r="K44" s="25" t="s">
        <v>23</v>
      </c>
      <c r="L44" s="339">
        <f>L43/L30</f>
        <v>21.029761904761905</v>
      </c>
    </row>
    <row r="45" spans="2:12" ht="19">
      <c r="B45" s="12" t="s">
        <v>72</v>
      </c>
      <c r="F45" s="1"/>
    </row>
    <row r="46" spans="2:12">
      <c r="F46" s="14"/>
      <c r="G46" s="15"/>
      <c r="H46" s="15"/>
      <c r="I46" s="24" t="s">
        <v>89</v>
      </c>
      <c r="J46" s="15"/>
      <c r="K46" s="15"/>
      <c r="L46" s="17"/>
    </row>
    <row r="47" spans="2:12">
      <c r="B47" s="1" t="s">
        <v>73</v>
      </c>
      <c r="D47" s="20">
        <f>L47</f>
        <v>55500</v>
      </c>
      <c r="F47" s="5" t="s">
        <v>94</v>
      </c>
      <c r="H47" s="1">
        <f>'April-2'!L52</f>
        <v>22500</v>
      </c>
      <c r="J47" s="1" t="s">
        <v>95</v>
      </c>
      <c r="L47" s="21">
        <f>H47+H48-L48</f>
        <v>55500</v>
      </c>
    </row>
    <row r="48" spans="2:12">
      <c r="B48" s="1" t="s">
        <v>242</v>
      </c>
      <c r="D48" s="1">
        <v>0</v>
      </c>
      <c r="F48" s="13" t="s">
        <v>65</v>
      </c>
      <c r="G48" s="11"/>
      <c r="H48" s="11">
        <f>D24</f>
        <v>60500</v>
      </c>
      <c r="I48" s="11"/>
      <c r="J48" s="11" t="s">
        <v>90</v>
      </c>
      <c r="K48" s="11"/>
      <c r="L48" s="8">
        <f>J24*L24</f>
        <v>27500</v>
      </c>
    </row>
    <row r="49" spans="2:12">
      <c r="F49" s="14" t="s">
        <v>6</v>
      </c>
      <c r="G49" s="15"/>
      <c r="H49" s="15">
        <f>H47+H48</f>
        <v>83000</v>
      </c>
      <c r="I49" s="15"/>
      <c r="J49" s="16" t="s">
        <v>6</v>
      </c>
      <c r="K49" s="15"/>
      <c r="L49" s="17">
        <f>L47+L48</f>
        <v>83000</v>
      </c>
    </row>
    <row r="50" spans="2:12">
      <c r="B50" s="1" t="s">
        <v>26</v>
      </c>
      <c r="D50" s="1">
        <f>D47+D48</f>
        <v>55500</v>
      </c>
      <c r="F50" s="1"/>
    </row>
    <row r="51" spans="2:12">
      <c r="F51" s="1"/>
    </row>
    <row r="52" spans="2:12">
      <c r="B52" s="1" t="s">
        <v>74</v>
      </c>
      <c r="F52" s="14"/>
      <c r="G52" s="15"/>
      <c r="H52" s="15"/>
      <c r="I52" s="24" t="s">
        <v>86</v>
      </c>
      <c r="J52" s="15"/>
      <c r="K52" s="15"/>
      <c r="L52" s="17"/>
    </row>
    <row r="53" spans="2:12">
      <c r="C53" s="1" t="s">
        <v>98</v>
      </c>
      <c r="D53" s="22">
        <f>-L53</f>
        <v>-39560</v>
      </c>
      <c r="F53" s="5" t="s">
        <v>94</v>
      </c>
      <c r="H53" s="1">
        <f>'April-2'!L58</f>
        <v>19400</v>
      </c>
      <c r="J53" s="1" t="s">
        <v>96</v>
      </c>
      <c r="L53" s="23">
        <f>H53+H54-L54</f>
        <v>39560</v>
      </c>
    </row>
    <row r="54" spans="2:12">
      <c r="C54" s="1" t="s">
        <v>11</v>
      </c>
      <c r="D54" s="1">
        <f>D30</f>
        <v>-3000</v>
      </c>
      <c r="F54" s="13" t="s">
        <v>97</v>
      </c>
      <c r="G54" s="11"/>
      <c r="H54" s="34">
        <f>K11</f>
        <v>40320</v>
      </c>
      <c r="I54" s="11"/>
      <c r="J54" s="11" t="s">
        <v>90</v>
      </c>
      <c r="K54" s="11"/>
      <c r="L54" s="8">
        <f>J57*H54</f>
        <v>20160</v>
      </c>
    </row>
    <row r="55" spans="2:12">
      <c r="C55" s="1" t="s">
        <v>125</v>
      </c>
      <c r="D55" s="1">
        <f>D31</f>
        <v>-3900</v>
      </c>
      <c r="F55" s="14" t="s">
        <v>6</v>
      </c>
      <c r="G55" s="15"/>
      <c r="H55" s="15">
        <f>H53+H54</f>
        <v>59720</v>
      </c>
      <c r="I55" s="15"/>
      <c r="J55" s="16" t="s">
        <v>6</v>
      </c>
      <c r="K55" s="15"/>
      <c r="L55" s="17">
        <f>L53+L54</f>
        <v>59720</v>
      </c>
    </row>
    <row r="56" spans="2:12">
      <c r="C56" s="1" t="s">
        <v>13</v>
      </c>
      <c r="D56" s="1">
        <f>D32</f>
        <v>-1500</v>
      </c>
      <c r="F56" s="1"/>
    </row>
    <row r="57" spans="2:12">
      <c r="C57" s="1" t="s">
        <v>243</v>
      </c>
      <c r="D57" s="1">
        <f>-K12</f>
        <v>-1500</v>
      </c>
      <c r="I57" s="29" t="s">
        <v>92</v>
      </c>
      <c r="J57" s="40">
        <v>0.5</v>
      </c>
      <c r="K57" s="351" t="s">
        <v>93</v>
      </c>
    </row>
    <row r="58" spans="2:12">
      <c r="C58" s="1" t="s">
        <v>252</v>
      </c>
      <c r="D58" s="1">
        <f>-K13</f>
        <v>-6000</v>
      </c>
      <c r="F58" s="1"/>
    </row>
    <row r="59" spans="2:12">
      <c r="C59" s="1" t="s">
        <v>158</v>
      </c>
      <c r="D59" s="1">
        <v>0</v>
      </c>
      <c r="F59" s="1"/>
    </row>
    <row r="60" spans="2:12">
      <c r="C60" s="1" t="s">
        <v>159</v>
      </c>
      <c r="D60" s="1">
        <v>0</v>
      </c>
      <c r="F60" s="1"/>
    </row>
    <row r="61" spans="2:12">
      <c r="C61" s="1" t="s">
        <v>244</v>
      </c>
      <c r="D61" s="1">
        <v>0</v>
      </c>
      <c r="F61" s="1"/>
    </row>
    <row r="62" spans="2:12">
      <c r="C62" s="1" t="s">
        <v>245</v>
      </c>
      <c r="D62" s="1">
        <f>D36</f>
        <v>-240</v>
      </c>
      <c r="F62" s="1"/>
    </row>
    <row r="63" spans="2:12">
      <c r="F63" s="1"/>
    </row>
    <row r="64" spans="2:12">
      <c r="B64" s="1" t="s">
        <v>76</v>
      </c>
      <c r="D64" s="1">
        <f>SUM(D53:D62)</f>
        <v>-55700</v>
      </c>
      <c r="F64" s="1"/>
    </row>
    <row r="65" spans="2:7">
      <c r="F65" s="1"/>
    </row>
    <row r="66" spans="2:7">
      <c r="B66" s="26" t="s">
        <v>77</v>
      </c>
      <c r="C66" s="26"/>
      <c r="D66" s="26">
        <f>D50+D64</f>
        <v>-200</v>
      </c>
      <c r="F66" s="1"/>
    </row>
    <row r="68" spans="2:7">
      <c r="B68" s="1" t="s">
        <v>78</v>
      </c>
      <c r="D68" s="1">
        <f>'April-2'!C103</f>
        <v>2980</v>
      </c>
    </row>
    <row r="70" spans="2:7">
      <c r="B70" s="1" t="s">
        <v>79</v>
      </c>
      <c r="D70" s="27">
        <f>D66+D68</f>
        <v>2780</v>
      </c>
    </row>
    <row r="73" spans="2:7" ht="19">
      <c r="B73" s="12" t="s">
        <v>139</v>
      </c>
      <c r="C73" s="36"/>
      <c r="D73" s="12" t="s">
        <v>129</v>
      </c>
    </row>
    <row r="74" spans="2:7" ht="19">
      <c r="D74" s="12"/>
      <c r="F74" s="1"/>
    </row>
    <row r="75" spans="2:7">
      <c r="B75" s="31" t="s">
        <v>165</v>
      </c>
      <c r="C75" s="128">
        <f>TIS</f>
        <v>0.2</v>
      </c>
      <c r="D75" s="1" t="s">
        <v>130</v>
      </c>
      <c r="F75" s="2">
        <f>C81</f>
        <v>4475.6190476190477</v>
      </c>
    </row>
    <row r="76" spans="2:7">
      <c r="C76" s="2"/>
    </row>
    <row r="77" spans="2:7">
      <c r="B77" s="1" t="s">
        <v>166</v>
      </c>
      <c r="C77" s="2">
        <f>D38</f>
        <v>5594.5238095238092</v>
      </c>
      <c r="D77" s="1" t="s">
        <v>167</v>
      </c>
      <c r="F77" s="128">
        <v>0</v>
      </c>
      <c r="G77" s="37"/>
    </row>
    <row r="78" spans="2:7">
      <c r="C78" s="2"/>
    </row>
    <row r="79" spans="2:7">
      <c r="B79" s="1" t="s">
        <v>141</v>
      </c>
      <c r="C79" s="2">
        <f>-C77*C75</f>
        <v>-1118.9047619047619</v>
      </c>
      <c r="D79" s="1" t="s">
        <v>131</v>
      </c>
      <c r="F79" s="302">
        <f>C81*F77</f>
        <v>0</v>
      </c>
    </row>
    <row r="80" spans="2:7">
      <c r="C80" s="2"/>
    </row>
    <row r="81" spans="2:12">
      <c r="B81" s="1" t="s">
        <v>167</v>
      </c>
      <c r="C81" s="2">
        <f>C77+C79</f>
        <v>4475.6190476190477</v>
      </c>
      <c r="D81" s="1" t="s">
        <v>185</v>
      </c>
      <c r="F81" s="303">
        <f>C81-F79</f>
        <v>4475.6190476190477</v>
      </c>
    </row>
    <row r="82" spans="2:12">
      <c r="F82" s="1"/>
    </row>
    <row r="83" spans="2:12" s="2" customFormat="1">
      <c r="B83" s="1"/>
      <c r="C83" s="1"/>
      <c r="D83" s="1"/>
      <c r="E83" s="1"/>
      <c r="G83" s="1"/>
      <c r="H83" s="1"/>
      <c r="I83" s="1"/>
      <c r="J83" s="1"/>
      <c r="K83" s="1"/>
      <c r="L83" s="1"/>
    </row>
    <row r="84" spans="2:12" s="2" customFormat="1" ht="19">
      <c r="B84" s="12" t="s">
        <v>0</v>
      </c>
      <c r="C84" s="1"/>
      <c r="D84" s="12"/>
      <c r="E84" s="1"/>
      <c r="G84" s="1"/>
      <c r="H84" s="1"/>
      <c r="I84" s="1"/>
      <c r="J84" s="1"/>
      <c r="K84" s="1"/>
      <c r="L84" s="1"/>
    </row>
    <row r="85" spans="2:12" s="2" customFormat="1">
      <c r="B85" s="1"/>
      <c r="C85" s="1"/>
      <c r="D85" s="1"/>
      <c r="E85" s="1"/>
      <c r="G85" s="1"/>
      <c r="H85" s="1"/>
      <c r="I85" s="1"/>
      <c r="J85" s="1"/>
      <c r="K85" s="1"/>
      <c r="L85" s="1"/>
    </row>
    <row r="86" spans="2:12" s="2" customFormat="1">
      <c r="B86" s="3"/>
      <c r="C86" s="4"/>
      <c r="D86" s="3"/>
      <c r="E86" s="4"/>
      <c r="G86" s="1"/>
      <c r="H86" s="1"/>
      <c r="I86" s="1"/>
      <c r="J86" s="1"/>
      <c r="K86" s="1"/>
      <c r="L86" s="1"/>
    </row>
    <row r="87" spans="2:12" s="2" customFormat="1">
      <c r="B87" s="5" t="s">
        <v>60</v>
      </c>
      <c r="C87" s="6"/>
      <c r="D87" s="5" t="s">
        <v>84</v>
      </c>
      <c r="E87" s="6"/>
      <c r="G87" s="1"/>
      <c r="H87" s="1"/>
      <c r="I87" s="1"/>
      <c r="J87" s="1"/>
      <c r="K87" s="1"/>
      <c r="L87" s="1"/>
    </row>
    <row r="88" spans="2:12" s="2" customFormat="1" ht="21">
      <c r="B88" s="7"/>
      <c r="C88" s="8"/>
      <c r="D88" s="7"/>
      <c r="E88" s="8"/>
      <c r="F88" s="30"/>
      <c r="G88" s="1"/>
      <c r="I88" s="31"/>
      <c r="J88" s="1"/>
      <c r="K88" s="1"/>
      <c r="L88" s="1"/>
    </row>
    <row r="89" spans="2:12" s="2" customFormat="1">
      <c r="B89" s="3"/>
      <c r="C89" s="4"/>
      <c r="D89" s="3"/>
      <c r="E89" s="4"/>
      <c r="F89" s="115"/>
      <c r="G89" s="116" t="s">
        <v>4</v>
      </c>
      <c r="H89" s="116"/>
      <c r="I89" s="117"/>
      <c r="J89" s="1"/>
      <c r="K89" s="1"/>
      <c r="L89" s="1"/>
    </row>
    <row r="90" spans="2:12" s="2" customFormat="1">
      <c r="B90" s="9"/>
      <c r="C90" s="10"/>
      <c r="D90" s="9" t="s">
        <v>62</v>
      </c>
      <c r="E90" s="10">
        <f>NA*PAR</f>
        <v>10000</v>
      </c>
      <c r="F90" s="5"/>
      <c r="G90" s="31" t="s">
        <v>30</v>
      </c>
      <c r="I90" s="6" t="s">
        <v>31</v>
      </c>
      <c r="J90" s="1"/>
      <c r="K90" s="1"/>
      <c r="L90" s="1"/>
    </row>
    <row r="91" spans="2:12" s="2" customFormat="1">
      <c r="B91" s="9" t="s">
        <v>248</v>
      </c>
      <c r="C91" s="122">
        <f>'Investment project Q2'!C18</f>
        <v>60000</v>
      </c>
      <c r="D91" s="9" t="s">
        <v>85</v>
      </c>
      <c r="E91" s="43">
        <f>G91+I91</f>
        <v>23323.619047619046</v>
      </c>
      <c r="F91" s="13" t="s">
        <v>23</v>
      </c>
      <c r="G91" s="11">
        <f>'April-2'!E95</f>
        <v>18848</v>
      </c>
      <c r="H91" s="11"/>
      <c r="I91" s="118">
        <f>F81</f>
        <v>4475.6190476190477</v>
      </c>
      <c r="J91" s="1"/>
      <c r="K91" s="1"/>
      <c r="L91" s="1"/>
    </row>
    <row r="92" spans="2:12" s="2" customFormat="1">
      <c r="B92" s="9" t="s">
        <v>271</v>
      </c>
      <c r="C92" s="123">
        <f>-K14+'April-2'!C96</f>
        <v>-2000</v>
      </c>
      <c r="D92" s="9" t="s">
        <v>82</v>
      </c>
      <c r="E92" s="10">
        <f>E90+E91</f>
        <v>33323.619047619046</v>
      </c>
      <c r="G92" s="1"/>
      <c r="H92" s="1"/>
      <c r="I92" s="1"/>
      <c r="J92" s="1"/>
      <c r="K92" s="1"/>
      <c r="L92" s="1"/>
    </row>
    <row r="93" spans="2:12" s="2" customFormat="1">
      <c r="B93" s="9" t="s">
        <v>247</v>
      </c>
      <c r="C93" s="122">
        <f>C91+C92</f>
        <v>58000</v>
      </c>
      <c r="D93" s="9"/>
      <c r="E93" s="10"/>
      <c r="G93" s="1"/>
      <c r="H93" s="1"/>
      <c r="I93" s="1"/>
      <c r="J93" s="1"/>
      <c r="K93" s="1"/>
      <c r="L93" s="1"/>
    </row>
    <row r="94" spans="2:12" s="2" customFormat="1">
      <c r="B94" s="9"/>
      <c r="D94" s="9" t="s">
        <v>229</v>
      </c>
      <c r="E94" s="10">
        <f>'April-2'!E98</f>
        <v>48000</v>
      </c>
      <c r="G94" s="1"/>
      <c r="H94" s="1"/>
      <c r="I94" s="1"/>
      <c r="J94" s="1"/>
      <c r="K94" s="1"/>
      <c r="L94" s="1"/>
    </row>
    <row r="95" spans="2:12" s="2" customFormat="1">
      <c r="B95" s="9"/>
      <c r="C95" s="122"/>
      <c r="D95" s="9"/>
      <c r="E95" s="10"/>
      <c r="G95" s="1"/>
      <c r="H95" s="1"/>
      <c r="I95" s="1"/>
      <c r="J95" s="1"/>
      <c r="K95" s="1"/>
      <c r="L95" s="1"/>
    </row>
    <row r="96" spans="2:12" s="2" customFormat="1">
      <c r="B96" s="9" t="s">
        <v>127</v>
      </c>
      <c r="C96" s="10">
        <f>L36</f>
        <v>16854.523809523809</v>
      </c>
      <c r="D96" s="9" t="s">
        <v>135</v>
      </c>
      <c r="E96" s="41">
        <f>'April-2'!E100+'May-2'!D60+F79</f>
        <v>0</v>
      </c>
      <c r="G96" s="1"/>
      <c r="H96" s="1"/>
      <c r="I96" s="1"/>
      <c r="J96" s="1"/>
      <c r="K96" s="1"/>
      <c r="L96" s="1"/>
    </row>
    <row r="97" spans="2:12" s="2" customFormat="1">
      <c r="B97" s="9" t="s">
        <v>128</v>
      </c>
      <c r="C97" s="10">
        <f>L48</f>
        <v>27500</v>
      </c>
      <c r="D97" s="9" t="s">
        <v>86</v>
      </c>
      <c r="E97" s="10">
        <f>L54</f>
        <v>20160</v>
      </c>
      <c r="G97" s="1"/>
      <c r="H97" s="1"/>
      <c r="I97" s="1"/>
      <c r="J97" s="1"/>
      <c r="K97" s="1"/>
      <c r="L97" s="1"/>
    </row>
    <row r="98" spans="2:12" s="2" customFormat="1">
      <c r="B98" s="9"/>
      <c r="C98" s="10"/>
      <c r="D98" s="9" t="s">
        <v>145</v>
      </c>
      <c r="E98" s="10">
        <f>'April-2'!E102-'May-2'!C79+'May-2'!D59</f>
        <v>3650.9047619047619</v>
      </c>
      <c r="G98" s="1"/>
      <c r="H98" s="1"/>
      <c r="I98" s="1"/>
      <c r="J98" s="1"/>
      <c r="K98" s="1"/>
      <c r="L98" s="1"/>
    </row>
    <row r="99" spans="2:12" s="2" customFormat="1">
      <c r="B99" s="9" t="s">
        <v>63</v>
      </c>
      <c r="C99" s="28">
        <f>'May-2'!D70</f>
        <v>2780</v>
      </c>
      <c r="E99" s="6"/>
      <c r="G99" s="1"/>
      <c r="H99" s="1"/>
      <c r="I99" s="1"/>
      <c r="J99" s="1"/>
      <c r="K99" s="1"/>
      <c r="L99" s="1"/>
    </row>
    <row r="100" spans="2:12">
      <c r="B100" s="9"/>
      <c r="C100" s="10"/>
      <c r="D100" s="9"/>
      <c r="E100" s="10"/>
    </row>
    <row r="101" spans="2:12">
      <c r="B101" s="18" t="s">
        <v>88</v>
      </c>
      <c r="C101" s="19">
        <f>C97+C99+C96+C93</f>
        <v>105134.52380952382</v>
      </c>
      <c r="D101" s="18" t="s">
        <v>87</v>
      </c>
      <c r="E101" s="19">
        <f>E92+E97+E98+E96+E94</f>
        <v>105134.52380952382</v>
      </c>
    </row>
    <row r="102" spans="2:12">
      <c r="B102" s="7"/>
      <c r="C102" s="8"/>
      <c r="D102" s="7"/>
      <c r="E102" s="8"/>
    </row>
    <row r="105" spans="2:12" ht="19">
      <c r="B105" s="12" t="s">
        <v>182</v>
      </c>
    </row>
    <row r="107" spans="2:12">
      <c r="B107" s="1" t="s">
        <v>173</v>
      </c>
      <c r="D107" s="2">
        <f>'Financial analysis May-2'!K99</f>
        <v>24194.523809523809</v>
      </c>
    </row>
    <row r="108" spans="2:12">
      <c r="D108" s="2"/>
    </row>
    <row r="109" spans="2:12">
      <c r="B109" s="26" t="s">
        <v>183</v>
      </c>
      <c r="C109" s="26"/>
      <c r="D109" s="127">
        <f>'Financial analysis May-2'!K99-'Financial analysis May-2'!J99</f>
        <v>6794.5238095238092</v>
      </c>
    </row>
    <row r="110" spans="2:12">
      <c r="D110" s="2"/>
    </row>
    <row r="111" spans="2:12">
      <c r="B111" s="1" t="s">
        <v>249</v>
      </c>
      <c r="D111" s="2">
        <f>D34</f>
        <v>5834.5238095238092</v>
      </c>
    </row>
    <row r="112" spans="2:12">
      <c r="B112" s="1" t="s">
        <v>251</v>
      </c>
      <c r="D112" s="25">
        <f>K14</f>
        <v>1000</v>
      </c>
    </row>
    <row r="113" spans="2:4">
      <c r="D113" s="2"/>
    </row>
    <row r="114" spans="2:4">
      <c r="B114" s="26" t="s">
        <v>29</v>
      </c>
      <c r="C114" s="26"/>
      <c r="D114" s="127">
        <f>D111+D112</f>
        <v>6834.5238095238092</v>
      </c>
    </row>
    <row r="115" spans="2:4">
      <c r="D115" s="2"/>
    </row>
    <row r="116" spans="2:4" ht="19">
      <c r="B116" s="87" t="s">
        <v>184</v>
      </c>
      <c r="C116" s="87"/>
      <c r="D116" s="126">
        <f>D114-D109</f>
        <v>40</v>
      </c>
    </row>
    <row r="117" spans="2:4">
      <c r="D117" s="2"/>
    </row>
    <row r="118" spans="2:4">
      <c r="B118" s="1" t="s">
        <v>176</v>
      </c>
      <c r="D118" s="2">
        <f>D59</f>
        <v>0</v>
      </c>
    </row>
    <row r="119" spans="2:4">
      <c r="B119" s="1" t="s">
        <v>253</v>
      </c>
      <c r="D119" s="25">
        <f>D36</f>
        <v>-240</v>
      </c>
    </row>
    <row r="120" spans="2:4">
      <c r="D120" s="2"/>
    </row>
    <row r="121" spans="2:4">
      <c r="B121" s="1" t="s">
        <v>254</v>
      </c>
      <c r="D121" s="2">
        <f>D116+D119</f>
        <v>-200</v>
      </c>
    </row>
    <row r="122" spans="2:4">
      <c r="D122" s="2"/>
    </row>
    <row r="123" spans="2:4">
      <c r="B123" s="1" t="s">
        <v>255</v>
      </c>
      <c r="D123" s="25">
        <f>D61</f>
        <v>0</v>
      </c>
    </row>
    <row r="124" spans="2:4">
      <c r="D124" s="2"/>
    </row>
    <row r="125" spans="2:4">
      <c r="B125" s="1" t="s">
        <v>256</v>
      </c>
      <c r="D125" s="2">
        <f>D121+D123</f>
        <v>-200</v>
      </c>
    </row>
    <row r="126" spans="2:4">
      <c r="D126" s="2"/>
    </row>
    <row r="127" spans="2:4">
      <c r="B127" s="1" t="s">
        <v>257</v>
      </c>
      <c r="D127" s="2">
        <v>0</v>
      </c>
    </row>
    <row r="128" spans="2:4">
      <c r="D128" s="2"/>
    </row>
    <row r="129" spans="2:4">
      <c r="B129" s="1" t="s">
        <v>177</v>
      </c>
      <c r="D129" s="25">
        <f>D60</f>
        <v>0</v>
      </c>
    </row>
    <row r="130" spans="2:4">
      <c r="D130" s="2"/>
    </row>
    <row r="131" spans="2:4">
      <c r="B131" s="26" t="s">
        <v>178</v>
      </c>
      <c r="C131" s="26"/>
      <c r="D131" s="127">
        <f>D125+D127</f>
        <v>-200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1596-6B24-FA41-9C58-18AA7C75EA89}">
  <dimension ref="B3:K10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1" width="10.83203125" style="89"/>
  </cols>
  <sheetData>
    <row r="3" spans="2:11" ht="19">
      <c r="B3" s="12"/>
    </row>
    <row r="4" spans="2:11">
      <c r="B4" s="50"/>
      <c r="C4" s="102"/>
      <c r="D4" s="102"/>
      <c r="E4" s="102"/>
      <c r="F4" s="102"/>
      <c r="G4" s="133"/>
      <c r="H4" s="133"/>
      <c r="I4" s="133"/>
      <c r="J4" s="90"/>
      <c r="K4" s="90"/>
    </row>
    <row r="5" spans="2:11" s="46" customFormat="1" ht="19">
      <c r="B5" s="80" t="s">
        <v>107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70" t="s">
        <v>195</v>
      </c>
      <c r="K5" s="70" t="s">
        <v>196</v>
      </c>
    </row>
    <row r="6" spans="2:11">
      <c r="B6" s="53"/>
      <c r="C6" s="104"/>
      <c r="D6" s="104"/>
      <c r="E6" s="104"/>
      <c r="F6" s="104"/>
      <c r="G6" s="135"/>
      <c r="H6" s="135"/>
      <c r="I6" s="135"/>
      <c r="J6" s="92"/>
      <c r="K6" s="92"/>
    </row>
    <row r="7" spans="2:11">
      <c r="B7" s="50"/>
      <c r="C7" s="102"/>
      <c r="D7" s="102"/>
      <c r="E7" s="102"/>
      <c r="F7" s="102"/>
      <c r="G7" s="133"/>
      <c r="H7" s="133"/>
      <c r="I7" s="133"/>
      <c r="J7" s="90"/>
      <c r="K7" s="90"/>
    </row>
    <row r="8" spans="2:11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93">
        <f>'April-2'!D24</f>
        <v>52500</v>
      </c>
      <c r="K8" s="93">
        <f>'May-2'!D24</f>
        <v>60500</v>
      </c>
    </row>
    <row r="9" spans="2:11">
      <c r="B9" s="71"/>
      <c r="C9" s="100"/>
      <c r="D9" s="100"/>
      <c r="E9" s="100"/>
      <c r="F9" s="100"/>
      <c r="G9" s="137"/>
      <c r="H9" s="137"/>
      <c r="I9" s="137"/>
      <c r="J9" s="91"/>
      <c r="K9" s="91"/>
    </row>
    <row r="10" spans="2:11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94">
        <f>'April-2'!D26</f>
        <v>-38000</v>
      </c>
      <c r="K10" s="94">
        <f>'May-2'!D26</f>
        <v>-46265.476190476191</v>
      </c>
    </row>
    <row r="11" spans="2:11">
      <c r="B11" s="71"/>
      <c r="C11" s="100"/>
      <c r="D11" s="100"/>
      <c r="E11" s="100"/>
      <c r="F11" s="100"/>
      <c r="G11" s="137"/>
      <c r="H11" s="137"/>
      <c r="I11" s="137"/>
      <c r="J11" s="91"/>
      <c r="K11" s="91"/>
    </row>
    <row r="12" spans="2:11">
      <c r="B12" s="71" t="s">
        <v>108</v>
      </c>
      <c r="C12" s="100">
        <f>C8+C10</f>
        <v>2000</v>
      </c>
      <c r="D12" s="100">
        <f t="shared" ref="D12:J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93">
        <f t="shared" si="0"/>
        <v>14500</v>
      </c>
      <c r="K12" s="93">
        <f t="shared" ref="K12" si="1">K8+K10</f>
        <v>14234.523809523809</v>
      </c>
    </row>
    <row r="13" spans="2:11">
      <c r="B13" s="71"/>
      <c r="C13" s="100"/>
      <c r="D13" s="100"/>
      <c r="E13" s="100"/>
      <c r="F13" s="100"/>
      <c r="G13" s="137"/>
      <c r="H13" s="137"/>
      <c r="I13" s="137"/>
      <c r="J13" s="91"/>
      <c r="K13" s="91"/>
    </row>
    <row r="14" spans="2:11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93">
        <f>'April-2'!D30</f>
        <v>-3000</v>
      </c>
      <c r="K14" s="93">
        <f>'May-2'!D30</f>
        <v>-3000</v>
      </c>
    </row>
    <row r="15" spans="2:11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93">
        <f>'April-2'!D31</f>
        <v>-3900</v>
      </c>
      <c r="K15" s="93">
        <f>'May-2'!D31</f>
        <v>-3900</v>
      </c>
    </row>
    <row r="16" spans="2:11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93">
        <f>'April-2'!D32</f>
        <v>-1500</v>
      </c>
      <c r="K16" s="93">
        <f>'May-2'!D32</f>
        <v>-1500</v>
      </c>
    </row>
    <row r="17" spans="2:11">
      <c r="B17" s="71"/>
      <c r="C17" s="100"/>
      <c r="D17" s="100"/>
      <c r="E17" s="100"/>
      <c r="F17" s="100"/>
      <c r="G17" s="137"/>
      <c r="H17" s="137"/>
      <c r="I17" s="137"/>
      <c r="J17" s="91"/>
      <c r="K17" s="91"/>
    </row>
    <row r="18" spans="2:11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>H12+H14+H15+H16</f>
        <v>4700</v>
      </c>
      <c r="I18" s="136">
        <f>I12+I14+I15+I16</f>
        <v>1900</v>
      </c>
      <c r="J18" s="93">
        <f>J12+J14+J15+J16</f>
        <v>6100</v>
      </c>
      <c r="K18" s="93">
        <f>K12+K14+K15+K16</f>
        <v>5834.5238095238092</v>
      </c>
    </row>
    <row r="19" spans="2:11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94"/>
      <c r="K19" s="94"/>
    </row>
    <row r="20" spans="2:11">
      <c r="B20" s="71"/>
      <c r="C20" s="100"/>
      <c r="D20" s="100"/>
      <c r="E20" s="100"/>
      <c r="F20" s="100"/>
      <c r="G20" s="136"/>
      <c r="H20" s="136"/>
      <c r="I20" s="136"/>
      <c r="J20" s="93"/>
      <c r="K20" s="93"/>
    </row>
    <row r="21" spans="2:11">
      <c r="B21" s="71" t="s">
        <v>144</v>
      </c>
      <c r="C21" s="100">
        <f>C18+C19</f>
        <v>1000</v>
      </c>
      <c r="D21" s="100">
        <f t="shared" ref="D21:J21" si="3">D18+D19</f>
        <v>2000</v>
      </c>
      <c r="E21" s="100">
        <f t="shared" si="3"/>
        <v>3700</v>
      </c>
      <c r="F21" s="100">
        <f t="shared" si="3"/>
        <v>6700</v>
      </c>
      <c r="G21" s="139">
        <f t="shared" si="3"/>
        <v>200</v>
      </c>
      <c r="H21" s="139">
        <f t="shared" si="3"/>
        <v>4700</v>
      </c>
      <c r="I21" s="139">
        <f t="shared" si="3"/>
        <v>1900</v>
      </c>
      <c r="J21" s="71">
        <f t="shared" si="3"/>
        <v>6100</v>
      </c>
      <c r="K21" s="71">
        <f t="shared" ref="K21" si="4">K18+K19</f>
        <v>5834.5238095238092</v>
      </c>
    </row>
    <row r="22" spans="2:11">
      <c r="B22" s="71"/>
      <c r="C22" s="100"/>
      <c r="D22" s="100"/>
      <c r="E22" s="100"/>
      <c r="F22" s="100"/>
      <c r="G22" s="139"/>
      <c r="H22" s="139"/>
      <c r="I22" s="139"/>
      <c r="J22" s="71"/>
      <c r="K22" s="71"/>
    </row>
    <row r="23" spans="2:11">
      <c r="B23" s="71" t="s">
        <v>263</v>
      </c>
      <c r="C23" s="99"/>
      <c r="D23" s="99"/>
      <c r="E23" s="99"/>
      <c r="F23" s="99"/>
      <c r="G23" s="140"/>
      <c r="H23" s="140"/>
      <c r="I23" s="140"/>
      <c r="J23" s="72">
        <f>'April-2'!D36</f>
        <v>-240</v>
      </c>
      <c r="K23" s="72">
        <f>'May-2'!D36</f>
        <v>-240</v>
      </c>
    </row>
    <row r="24" spans="2:11">
      <c r="B24" s="71"/>
      <c r="C24" s="100"/>
      <c r="D24" s="100"/>
      <c r="E24" s="100"/>
      <c r="F24" s="100"/>
      <c r="G24" s="139"/>
      <c r="H24" s="139"/>
      <c r="I24" s="139"/>
      <c r="J24" s="71"/>
      <c r="K24" s="71"/>
    </row>
    <row r="25" spans="2:11">
      <c r="B25" s="71" t="s">
        <v>264</v>
      </c>
      <c r="C25" s="100"/>
      <c r="D25" s="100"/>
      <c r="E25" s="100"/>
      <c r="F25" s="100"/>
      <c r="G25" s="139"/>
      <c r="H25" s="139"/>
      <c r="I25" s="139"/>
      <c r="J25" s="71">
        <f>J21+J23</f>
        <v>5860</v>
      </c>
      <c r="K25" s="71">
        <f>K21+K23</f>
        <v>5594.5238095238092</v>
      </c>
    </row>
    <row r="26" spans="2:11">
      <c r="B26" s="71"/>
      <c r="C26" s="100"/>
      <c r="D26" s="100"/>
      <c r="E26" s="100"/>
      <c r="F26" s="100"/>
      <c r="G26" s="137"/>
      <c r="H26" s="137"/>
      <c r="I26" s="137"/>
      <c r="J26" s="91"/>
      <c r="K26" s="91"/>
    </row>
    <row r="27" spans="2:11">
      <c r="B27" s="71" t="s">
        <v>265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0">
        <f t="shared" si="5"/>
        <v>-40</v>
      </c>
      <c r="H27" s="140">
        <f t="shared" si="5"/>
        <v>-940</v>
      </c>
      <c r="I27" s="140">
        <f t="shared" si="5"/>
        <v>-380</v>
      </c>
      <c r="J27" s="72">
        <f>'April-2'!D40</f>
        <v>-1172</v>
      </c>
      <c r="K27" s="72">
        <f>'May-2'!D40</f>
        <v>-1118.9047619047619</v>
      </c>
    </row>
    <row r="28" spans="2:11">
      <c r="B28" s="71"/>
      <c r="C28" s="100"/>
      <c r="D28" s="100"/>
      <c r="E28" s="100"/>
      <c r="F28" s="100"/>
      <c r="G28" s="137"/>
      <c r="H28" s="137"/>
      <c r="I28" s="137"/>
      <c r="J28" s="91"/>
      <c r="K28" s="91"/>
    </row>
    <row r="29" spans="2:11">
      <c r="B29" s="71" t="s">
        <v>167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39">
        <f t="shared" si="6"/>
        <v>160</v>
      </c>
      <c r="H29" s="139">
        <f t="shared" si="6"/>
        <v>3760</v>
      </c>
      <c r="I29" s="139">
        <f t="shared" si="6"/>
        <v>1520</v>
      </c>
      <c r="J29" s="71">
        <f>J25+J27</f>
        <v>4688</v>
      </c>
      <c r="K29" s="71">
        <f>K25+K27</f>
        <v>4475.6190476190477</v>
      </c>
    </row>
    <row r="30" spans="2:11">
      <c r="B30" s="53"/>
      <c r="C30" s="104"/>
      <c r="D30" s="104"/>
      <c r="E30" s="104"/>
      <c r="F30" s="104"/>
      <c r="G30" s="135"/>
      <c r="H30" s="135"/>
      <c r="I30" s="135"/>
      <c r="J30" s="92"/>
      <c r="K30" s="92"/>
    </row>
    <row r="46" spans="2:11">
      <c r="B46" s="50"/>
      <c r="C46" s="102"/>
      <c r="D46" s="102"/>
      <c r="E46" s="102"/>
      <c r="F46" s="102"/>
      <c r="G46" s="133"/>
      <c r="H46" s="133"/>
      <c r="I46" s="133"/>
      <c r="J46" s="90"/>
      <c r="K46" s="90"/>
    </row>
    <row r="47" spans="2:11" ht="19">
      <c r="B47" s="80" t="s">
        <v>21</v>
      </c>
      <c r="C47" s="103" t="s">
        <v>147</v>
      </c>
      <c r="D47" s="103" t="s">
        <v>148</v>
      </c>
      <c r="E47" s="103" t="s">
        <v>149</v>
      </c>
      <c r="F47" s="103" t="s">
        <v>150</v>
      </c>
      <c r="G47" s="134" t="s">
        <v>171</v>
      </c>
      <c r="H47" s="134" t="s">
        <v>190</v>
      </c>
      <c r="I47" s="134" t="s">
        <v>192</v>
      </c>
      <c r="J47" s="70" t="s">
        <v>195</v>
      </c>
      <c r="K47" s="70" t="s">
        <v>196</v>
      </c>
    </row>
    <row r="48" spans="2:11">
      <c r="B48" s="53"/>
      <c r="C48" s="104"/>
      <c r="D48" s="104"/>
      <c r="E48" s="104"/>
      <c r="F48" s="104"/>
      <c r="G48" s="135"/>
      <c r="H48" s="135"/>
      <c r="I48" s="135"/>
      <c r="J48" s="92"/>
      <c r="K48" s="92"/>
    </row>
    <row r="49" spans="2:11">
      <c r="B49" s="50"/>
      <c r="C49" s="102"/>
      <c r="D49" s="102"/>
      <c r="E49" s="102"/>
      <c r="F49" s="102"/>
      <c r="G49" s="133"/>
      <c r="H49" s="133"/>
      <c r="I49" s="133"/>
      <c r="J49" s="90"/>
      <c r="K49" s="90"/>
    </row>
    <row r="50" spans="2:11">
      <c r="B50" s="71" t="s">
        <v>65</v>
      </c>
      <c r="C50" s="105">
        <f t="shared" ref="C50:J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1">
        <f t="shared" si="7"/>
        <v>1</v>
      </c>
      <c r="H50" s="141">
        <f t="shared" si="7"/>
        <v>1</v>
      </c>
      <c r="I50" s="141">
        <f t="shared" si="7"/>
        <v>1</v>
      </c>
      <c r="J50" s="95">
        <f t="shared" si="7"/>
        <v>1</v>
      </c>
      <c r="K50" s="95">
        <f t="shared" ref="K50" si="8">K8/K$8</f>
        <v>1</v>
      </c>
    </row>
    <row r="51" spans="2:11">
      <c r="B51" s="71"/>
      <c r="C51" s="100"/>
      <c r="D51" s="100"/>
      <c r="E51" s="100"/>
      <c r="F51" s="100"/>
      <c r="G51" s="136"/>
      <c r="H51" s="136"/>
      <c r="I51" s="136"/>
      <c r="J51" s="93"/>
      <c r="K51" s="93"/>
    </row>
    <row r="52" spans="2:11">
      <c r="B52" s="71" t="s">
        <v>187</v>
      </c>
      <c r="C52" s="106">
        <f t="shared" ref="C52:J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2">
        <f t="shared" si="9"/>
        <v>-0.72727272727272729</v>
      </c>
      <c r="H52" s="142">
        <f t="shared" si="9"/>
        <v>-0.72463768115942029</v>
      </c>
      <c r="I52" s="142">
        <f t="shared" si="9"/>
        <v>-0.72727272727272729</v>
      </c>
      <c r="J52" s="96">
        <f t="shared" si="9"/>
        <v>-0.72380952380952379</v>
      </c>
      <c r="K52" s="96">
        <f t="shared" ref="K52" si="10">K10/K$8</f>
        <v>-0.76471861471861469</v>
      </c>
    </row>
    <row r="53" spans="2:11">
      <c r="B53" s="71"/>
      <c r="C53" s="100"/>
      <c r="D53" s="100"/>
      <c r="E53" s="100"/>
      <c r="F53" s="100"/>
      <c r="G53" s="136"/>
      <c r="H53" s="136"/>
      <c r="I53" s="136"/>
      <c r="J53" s="93"/>
      <c r="K53" s="93"/>
    </row>
    <row r="54" spans="2:11">
      <c r="B54" s="71" t="s">
        <v>108</v>
      </c>
      <c r="C54" s="105">
        <f t="shared" ref="C54:J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1">
        <f t="shared" si="11"/>
        <v>0.27272727272727271</v>
      </c>
      <c r="H54" s="141">
        <f t="shared" si="11"/>
        <v>0.27536231884057971</v>
      </c>
      <c r="I54" s="141">
        <f t="shared" si="11"/>
        <v>0.27272727272727271</v>
      </c>
      <c r="J54" s="95">
        <f t="shared" si="11"/>
        <v>0.27619047619047621</v>
      </c>
      <c r="K54" s="95">
        <f t="shared" ref="K54" si="12">K12/K$8</f>
        <v>0.23528138528138529</v>
      </c>
    </row>
    <row r="55" spans="2:11">
      <c r="B55" s="71"/>
      <c r="C55" s="100"/>
      <c r="D55" s="100"/>
      <c r="E55" s="100"/>
      <c r="F55" s="100"/>
      <c r="G55" s="136"/>
      <c r="H55" s="136"/>
      <c r="I55" s="136"/>
      <c r="J55" s="93"/>
      <c r="K55" s="93"/>
    </row>
    <row r="56" spans="2:11">
      <c r="B56" s="71" t="s">
        <v>99</v>
      </c>
      <c r="C56" s="105">
        <f t="shared" ref="C56:J57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1">
        <f t="shared" si="13"/>
        <v>-7.2727272727272724E-2</v>
      </c>
      <c r="H56" s="141">
        <f t="shared" si="13"/>
        <v>-5.7971014492753624E-2</v>
      </c>
      <c r="I56" s="141">
        <f t="shared" si="13"/>
        <v>-7.792207792207792E-2</v>
      </c>
      <c r="J56" s="95">
        <f t="shared" si="13"/>
        <v>-5.7142857142857141E-2</v>
      </c>
      <c r="K56" s="95">
        <f t="shared" ref="K56" si="14">K14/K$8</f>
        <v>-4.9586776859504134E-2</v>
      </c>
    </row>
    <row r="57" spans="2:11">
      <c r="B57" s="71" t="s">
        <v>100</v>
      </c>
      <c r="C57" s="100"/>
      <c r="D57" s="100"/>
      <c r="E57" s="105">
        <f t="shared" si="13"/>
        <v>-4.8148148148148148E-2</v>
      </c>
      <c r="F57" s="105">
        <f t="shared" si="13"/>
        <v>-3.6111111111111108E-2</v>
      </c>
      <c r="G57" s="141">
        <f t="shared" si="13"/>
        <v>-4.7272727272727272E-2</v>
      </c>
      <c r="H57" s="141">
        <f t="shared" si="13"/>
        <v>-3.7681159420289857E-2</v>
      </c>
      <c r="I57" s="141">
        <f t="shared" si="13"/>
        <v>-6.7532467532467527E-2</v>
      </c>
      <c r="J57" s="95">
        <f t="shared" si="13"/>
        <v>-7.4285714285714288E-2</v>
      </c>
      <c r="K57" s="95">
        <f t="shared" ref="K57" si="15">K15/K$8</f>
        <v>-6.4462809917355368E-2</v>
      </c>
    </row>
    <row r="58" spans="2:11">
      <c r="B58" s="71" t="s">
        <v>188</v>
      </c>
      <c r="C58" s="99"/>
      <c r="D58" s="99"/>
      <c r="E58" s="99"/>
      <c r="F58" s="99"/>
      <c r="G58" s="138"/>
      <c r="H58" s="142">
        <f>H16/H$8</f>
        <v>-4.3478260869565216E-2</v>
      </c>
      <c r="I58" s="142">
        <f>I16/I$8</f>
        <v>-7.792207792207792E-2</v>
      </c>
      <c r="J58" s="96">
        <f>J16/J$8</f>
        <v>-2.8571428571428571E-2</v>
      </c>
      <c r="K58" s="96">
        <f>K16/K$8</f>
        <v>-2.4793388429752067E-2</v>
      </c>
    </row>
    <row r="59" spans="2:11">
      <c r="B59" s="71"/>
      <c r="C59" s="100"/>
      <c r="D59" s="100"/>
      <c r="E59" s="100"/>
      <c r="F59" s="100"/>
      <c r="G59" s="136"/>
      <c r="H59" s="136"/>
      <c r="I59" s="136"/>
      <c r="J59" s="93"/>
      <c r="K59" s="93"/>
    </row>
    <row r="60" spans="2:11">
      <c r="B60" s="71" t="s">
        <v>181</v>
      </c>
      <c r="C60" s="105">
        <f t="shared" ref="C60:J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1">
        <f t="shared" si="16"/>
        <v>0.15272727272727274</v>
      </c>
      <c r="H60" s="141">
        <f t="shared" si="16"/>
        <v>0.13623188405797101</v>
      </c>
      <c r="I60" s="141">
        <f t="shared" si="16"/>
        <v>4.9350649350649353E-2</v>
      </c>
      <c r="J60" s="95">
        <f t="shared" si="16"/>
        <v>0.11619047619047619</v>
      </c>
      <c r="K60" s="95">
        <f t="shared" ref="K60" si="17">K18/K$8</f>
        <v>9.6438410074773703E-2</v>
      </c>
    </row>
    <row r="61" spans="2:11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96"/>
      <c r="K61" s="96"/>
    </row>
    <row r="62" spans="2:11">
      <c r="B62" s="71"/>
      <c r="C62" s="105"/>
      <c r="D62" s="105"/>
      <c r="E62" s="105"/>
      <c r="F62" s="105"/>
      <c r="G62" s="141"/>
      <c r="H62" s="141"/>
      <c r="I62" s="141"/>
      <c r="J62" s="95"/>
      <c r="K62" s="95"/>
    </row>
    <row r="63" spans="2:11">
      <c r="B63" s="71" t="s">
        <v>144</v>
      </c>
      <c r="C63" s="105">
        <f>C60+C61</f>
        <v>0.16666666666666666</v>
      </c>
      <c r="D63" s="105">
        <f t="shared" ref="D63:J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3">
        <f t="shared" si="18"/>
        <v>7.2727272727272918E-3</v>
      </c>
      <c r="H63" s="143">
        <f t="shared" si="18"/>
        <v>0.13623188405797101</v>
      </c>
      <c r="I63" s="143">
        <f t="shared" si="18"/>
        <v>4.9350649350649353E-2</v>
      </c>
      <c r="J63" s="107">
        <f t="shared" si="18"/>
        <v>0.11619047619047619</v>
      </c>
      <c r="K63" s="107">
        <f t="shared" ref="K63" si="19">K60+K61</f>
        <v>9.6438410074773703E-2</v>
      </c>
    </row>
    <row r="64" spans="2:11">
      <c r="B64" s="71"/>
      <c r="C64" s="105"/>
      <c r="D64" s="105"/>
      <c r="E64" s="105"/>
      <c r="F64" s="105"/>
      <c r="G64" s="143"/>
      <c r="H64" s="143"/>
      <c r="I64" s="143"/>
      <c r="J64" s="107"/>
      <c r="K64" s="107"/>
    </row>
    <row r="65" spans="2:11">
      <c r="B65" s="71" t="s">
        <v>263</v>
      </c>
      <c r="C65" s="106"/>
      <c r="D65" s="106"/>
      <c r="E65" s="106"/>
      <c r="F65" s="106"/>
      <c r="G65" s="144"/>
      <c r="H65" s="144"/>
      <c r="I65" s="144"/>
      <c r="J65" s="96">
        <f>J23/J$8</f>
        <v>-4.5714285714285718E-3</v>
      </c>
      <c r="K65" s="96">
        <f>K23/K$8</f>
        <v>-3.9669421487603307E-3</v>
      </c>
    </row>
    <row r="66" spans="2:11">
      <c r="B66" s="71"/>
      <c r="C66" s="105"/>
      <c r="D66" s="105"/>
      <c r="E66" s="105"/>
      <c r="F66" s="105"/>
      <c r="G66" s="143"/>
      <c r="H66" s="143"/>
      <c r="I66" s="143"/>
      <c r="J66" s="107"/>
      <c r="K66" s="107"/>
    </row>
    <row r="67" spans="2:11">
      <c r="B67" s="71" t="s">
        <v>264</v>
      </c>
      <c r="C67" s="105"/>
      <c r="D67" s="105"/>
      <c r="E67" s="105"/>
      <c r="F67" s="105"/>
      <c r="G67" s="143"/>
      <c r="H67" s="143"/>
      <c r="I67" s="143"/>
      <c r="J67" s="107">
        <f>J63+J65</f>
        <v>0.11161904761904762</v>
      </c>
      <c r="K67" s="107">
        <f>K63+K65</f>
        <v>9.2471467926013379E-2</v>
      </c>
    </row>
    <row r="68" spans="2:11">
      <c r="B68" s="71"/>
      <c r="C68" s="100"/>
      <c r="D68" s="100"/>
      <c r="E68" s="100"/>
      <c r="F68" s="100"/>
      <c r="G68" s="136"/>
      <c r="H68" s="136"/>
      <c r="I68" s="136"/>
      <c r="J68" s="93"/>
      <c r="K68" s="93"/>
    </row>
    <row r="69" spans="2:11">
      <c r="B69" s="71" t="s">
        <v>265</v>
      </c>
      <c r="C69" s="106">
        <f t="shared" ref="C69:J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2">
        <f t="shared" si="20"/>
        <v>-1.4545454545454545E-3</v>
      </c>
      <c r="H69" s="142">
        <f t="shared" si="20"/>
        <v>-2.7246376811594204E-2</v>
      </c>
      <c r="I69" s="142">
        <f t="shared" si="20"/>
        <v>-9.870129870129871E-3</v>
      </c>
      <c r="J69" s="96">
        <f t="shared" si="20"/>
        <v>-2.2323809523809524E-2</v>
      </c>
      <c r="K69" s="96">
        <f t="shared" ref="K69" si="21">K27/K$8</f>
        <v>-1.8494293585202676E-2</v>
      </c>
    </row>
    <row r="70" spans="2:11">
      <c r="B70" s="71"/>
      <c r="C70" s="100"/>
      <c r="D70" s="100"/>
      <c r="E70" s="100"/>
      <c r="F70" s="100"/>
      <c r="G70" s="136"/>
      <c r="H70" s="136"/>
      <c r="I70" s="136"/>
      <c r="J70" s="93"/>
      <c r="K70" s="93"/>
    </row>
    <row r="71" spans="2:11">
      <c r="B71" s="71" t="s">
        <v>167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1">
        <f t="shared" si="22"/>
        <v>5.8181818181818178E-3</v>
      </c>
      <c r="H71" s="141">
        <f t="shared" si="22"/>
        <v>0.10898550724637682</v>
      </c>
      <c r="I71" s="141">
        <f t="shared" si="22"/>
        <v>3.9480519480519484E-2</v>
      </c>
      <c r="J71" s="95">
        <f>J67+J69</f>
        <v>8.9295238095238094E-2</v>
      </c>
      <c r="K71" s="95">
        <f>K67+K69</f>
        <v>7.3977174340810706E-2</v>
      </c>
    </row>
    <row r="72" spans="2:11">
      <c r="B72" s="53"/>
      <c r="C72" s="104"/>
      <c r="D72" s="104"/>
      <c r="E72" s="104"/>
      <c r="F72" s="104"/>
      <c r="G72" s="135"/>
      <c r="H72" s="135"/>
      <c r="I72" s="135"/>
      <c r="J72" s="92"/>
      <c r="K72" s="92"/>
    </row>
    <row r="88" spans="2:11" s="75" customFormat="1">
      <c r="B88" s="86"/>
      <c r="C88" s="102"/>
      <c r="D88" s="102"/>
      <c r="E88" s="102"/>
      <c r="F88" s="102"/>
      <c r="G88" s="133"/>
      <c r="H88" s="133"/>
      <c r="I88" s="133"/>
      <c r="J88" s="90"/>
      <c r="K88" s="90"/>
    </row>
    <row r="89" spans="2:11" s="75" customFormat="1" ht="19">
      <c r="B89" s="80" t="s">
        <v>152</v>
      </c>
      <c r="C89" s="103" t="s">
        <v>147</v>
      </c>
      <c r="D89" s="103" t="s">
        <v>148</v>
      </c>
      <c r="E89" s="103" t="s">
        <v>149</v>
      </c>
      <c r="F89" s="103" t="s">
        <v>150</v>
      </c>
      <c r="G89" s="134" t="s">
        <v>171</v>
      </c>
      <c r="H89" s="134" t="s">
        <v>190</v>
      </c>
      <c r="I89" s="134" t="s">
        <v>192</v>
      </c>
      <c r="J89" s="70" t="s">
        <v>195</v>
      </c>
      <c r="K89" s="70" t="s">
        <v>196</v>
      </c>
    </row>
    <row r="90" spans="2:11" s="75" customFormat="1">
      <c r="B90" s="72"/>
      <c r="C90" s="104"/>
      <c r="D90" s="104"/>
      <c r="E90" s="104"/>
      <c r="F90" s="104"/>
      <c r="G90" s="135"/>
      <c r="H90" s="135"/>
      <c r="I90" s="135"/>
      <c r="J90" s="92"/>
      <c r="K90" s="92"/>
    </row>
    <row r="91" spans="2:11" s="75" customFormat="1">
      <c r="B91" s="86"/>
      <c r="C91" s="97"/>
      <c r="D91" s="97"/>
      <c r="E91" s="97"/>
      <c r="F91" s="97"/>
      <c r="G91" s="145"/>
      <c r="H91" s="145"/>
      <c r="I91" s="145"/>
      <c r="J91" s="86"/>
      <c r="K91" s="86"/>
    </row>
    <row r="92" spans="2:11" s="75" customFormat="1">
      <c r="B92" s="71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71">
        <f>'April-2'!C100</f>
        <v>14300</v>
      </c>
      <c r="K92" s="71">
        <f>'May-2'!C96</f>
        <v>16854.523809523809</v>
      </c>
    </row>
    <row r="93" spans="2:11" s="75" customFormat="1">
      <c r="B93" s="71"/>
      <c r="C93" s="100"/>
      <c r="D93" s="100"/>
      <c r="E93" s="100"/>
      <c r="F93" s="100"/>
      <c r="G93" s="139"/>
      <c r="H93" s="139"/>
      <c r="I93" s="139"/>
      <c r="J93" s="71"/>
      <c r="K93" s="71"/>
    </row>
    <row r="94" spans="2:11" s="75" customFormat="1">
      <c r="B94" s="71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71">
        <f>'April-2'!C101</f>
        <v>22500</v>
      </c>
      <c r="K94" s="71">
        <f>'May-2'!C97</f>
        <v>27500</v>
      </c>
    </row>
    <row r="95" spans="2:11" s="75" customFormat="1">
      <c r="B95" s="71"/>
      <c r="C95" s="100"/>
      <c r="D95" s="100"/>
      <c r="E95" s="100"/>
      <c r="F95" s="100"/>
      <c r="G95" s="139"/>
      <c r="H95" s="139"/>
      <c r="I95" s="139"/>
      <c r="J95" s="71"/>
      <c r="K95" s="71"/>
    </row>
    <row r="96" spans="2:11" s="75" customFormat="1">
      <c r="B96" s="71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71">
        <f>-'April-2'!E101</f>
        <v>-19400</v>
      </c>
      <c r="K96" s="71">
        <f>-'May-2'!E97</f>
        <v>-20160</v>
      </c>
    </row>
    <row r="97" spans="2:11" s="75" customFormat="1">
      <c r="B97" s="71"/>
      <c r="C97" s="99"/>
      <c r="D97" s="99"/>
      <c r="E97" s="99"/>
      <c r="F97" s="99"/>
      <c r="G97" s="140"/>
      <c r="H97" s="140"/>
      <c r="I97" s="140"/>
      <c r="J97" s="72"/>
      <c r="K97" s="72"/>
    </row>
    <row r="98" spans="2:11" s="75" customFormat="1">
      <c r="B98" s="71"/>
      <c r="C98" s="100"/>
      <c r="D98" s="100"/>
      <c r="E98" s="100"/>
      <c r="F98" s="100"/>
      <c r="G98" s="139"/>
      <c r="H98" s="139"/>
      <c r="I98" s="139"/>
      <c r="J98" s="71"/>
      <c r="K98" s="71"/>
    </row>
    <row r="99" spans="2:11" s="75" customFormat="1">
      <c r="B99" s="74" t="s">
        <v>155</v>
      </c>
      <c r="C99" s="101">
        <f>C92+C94+C96</f>
        <v>0</v>
      </c>
      <c r="D99" s="101">
        <f t="shared" ref="D99:J99" si="23">D92+D94+D96</f>
        <v>1000</v>
      </c>
      <c r="E99" s="101">
        <f t="shared" si="23"/>
        <v>10000</v>
      </c>
      <c r="F99" s="101">
        <f t="shared" si="23"/>
        <v>13000</v>
      </c>
      <c r="G99" s="147">
        <f t="shared" si="23"/>
        <v>8500</v>
      </c>
      <c r="H99" s="147">
        <f t="shared" si="23"/>
        <v>9000</v>
      </c>
      <c r="I99" s="147">
        <f t="shared" si="23"/>
        <v>12000</v>
      </c>
      <c r="J99" s="74">
        <f t="shared" si="23"/>
        <v>17400</v>
      </c>
      <c r="K99" s="74">
        <f t="shared" ref="K99" si="24">K92+K94+K96</f>
        <v>24194.523809523809</v>
      </c>
    </row>
    <row r="100" spans="2:11" s="75" customFormat="1">
      <c r="B100" s="72"/>
      <c r="C100" s="99"/>
      <c r="D100" s="99"/>
      <c r="E100" s="99"/>
      <c r="F100" s="99"/>
      <c r="G100" s="140"/>
      <c r="H100" s="140"/>
      <c r="I100" s="140"/>
      <c r="J100" s="72"/>
      <c r="K100" s="7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CC21-8DCD-F440-8B0A-C6BB744BF5C7}">
  <dimension ref="B2:E7"/>
  <sheetViews>
    <sheetView showGridLines="0" tabSelected="1" zoomScale="150" zoomScaleNormal="150" workbookViewId="0">
      <selection activeCell="B3" sqref="B3"/>
    </sheetView>
  </sheetViews>
  <sheetFormatPr baseColWidth="10" defaultRowHeight="16"/>
  <cols>
    <col min="1" max="1" width="6.33203125" style="1" customWidth="1"/>
    <col min="2" max="2" width="20.83203125" style="1" customWidth="1"/>
    <col min="3" max="3" width="10.83203125" style="1"/>
    <col min="4" max="4" width="20.83203125" style="1" customWidth="1"/>
    <col min="5" max="16384" width="10.83203125" style="1"/>
  </cols>
  <sheetData>
    <row r="2" spans="2:5" ht="10" customHeight="1">
      <c r="B2" s="3"/>
      <c r="C2" s="4"/>
      <c r="D2" s="3"/>
      <c r="E2" s="4"/>
    </row>
    <row r="3" spans="2:5" s="2" customFormat="1">
      <c r="B3" s="5" t="s">
        <v>60</v>
      </c>
      <c r="C3" s="6"/>
      <c r="D3" s="5" t="s">
        <v>61</v>
      </c>
      <c r="E3" s="6"/>
    </row>
    <row r="4" spans="2:5" ht="10" customHeight="1">
      <c r="B4" s="7"/>
      <c r="C4" s="8"/>
      <c r="D4" s="7"/>
      <c r="E4" s="8"/>
    </row>
    <row r="5" spans="2:5">
      <c r="B5" s="3"/>
      <c r="C5" s="4"/>
      <c r="D5" s="3"/>
      <c r="E5" s="4"/>
    </row>
    <row r="6" spans="2:5">
      <c r="B6" s="9" t="s">
        <v>63</v>
      </c>
      <c r="C6" s="10">
        <f>E6</f>
        <v>10000</v>
      </c>
      <c r="D6" s="9" t="s">
        <v>62</v>
      </c>
      <c r="E6" s="10">
        <f>NA*PAR</f>
        <v>10000</v>
      </c>
    </row>
    <row r="7" spans="2:5">
      <c r="B7" s="7"/>
      <c r="C7" s="8"/>
      <c r="D7" s="7"/>
      <c r="E7" s="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6E69-3CFB-6142-9137-763F6E451CE0}">
  <dimension ref="B2:M131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0.5" style="1" customWidth="1"/>
    <col min="3" max="3" width="23.6640625" style="1" customWidth="1"/>
    <col min="4" max="4" width="24.33203125" style="1" customWidth="1"/>
    <col min="5" max="5" width="8.5" style="1" customWidth="1"/>
    <col min="6" max="6" width="10.1640625" style="2" customWidth="1"/>
    <col min="7" max="7" width="8.83203125" style="1" customWidth="1"/>
    <col min="8" max="8" width="11.5" style="1" customWidth="1"/>
    <col min="9" max="9" width="9.5" style="1" customWidth="1"/>
    <col min="10" max="10" width="12.164062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7" t="s">
        <v>233</v>
      </c>
    </row>
    <row r="3" spans="2:12" ht="19">
      <c r="B3" s="304" t="s">
        <v>115</v>
      </c>
      <c r="C3" s="83" t="s">
        <v>116</v>
      </c>
      <c r="D3" s="83" t="s">
        <v>117</v>
      </c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7" t="s">
        <v>267</v>
      </c>
      <c r="I5" s="10"/>
      <c r="J5" s="9"/>
      <c r="K5" s="1">
        <v>3300</v>
      </c>
      <c r="L5" s="61"/>
    </row>
    <row r="6" spans="2:12">
      <c r="B6" s="71" t="s">
        <v>259</v>
      </c>
      <c r="C6" s="83">
        <v>1</v>
      </c>
      <c r="D6" s="83">
        <f>MAN</f>
        <v>2000</v>
      </c>
      <c r="F6" s="5"/>
      <c r="I6" s="10"/>
      <c r="J6" s="9"/>
      <c r="L6" s="10"/>
    </row>
    <row r="7" spans="2:12">
      <c r="B7" s="71"/>
      <c r="C7" s="83"/>
      <c r="D7" s="83"/>
      <c r="F7" s="177" t="s">
        <v>269</v>
      </c>
      <c r="I7" s="321">
        <v>0.35</v>
      </c>
      <c r="J7" s="9"/>
      <c r="K7" s="1">
        <f>I7*K5</f>
        <v>1155</v>
      </c>
      <c r="L7" s="61"/>
    </row>
    <row r="8" spans="2:12">
      <c r="B8" s="71" t="s">
        <v>35</v>
      </c>
      <c r="C8" s="83">
        <v>1</v>
      </c>
      <c r="D8" s="83">
        <f>ADOP</f>
        <v>1000</v>
      </c>
      <c r="F8" s="5"/>
      <c r="I8" s="10"/>
      <c r="J8" s="9"/>
      <c r="L8" s="10"/>
    </row>
    <row r="9" spans="2:12">
      <c r="B9" s="71"/>
      <c r="C9" s="83"/>
      <c r="D9" s="83"/>
      <c r="F9" s="177" t="s">
        <v>270</v>
      </c>
      <c r="I9" s="10"/>
      <c r="J9" s="9"/>
      <c r="K9" s="1">
        <f>K7+L30-H30</f>
        <v>3185</v>
      </c>
      <c r="L9" s="61"/>
    </row>
    <row r="10" spans="2:12">
      <c r="B10" s="71" t="s">
        <v>65</v>
      </c>
      <c r="C10" s="83">
        <v>3</v>
      </c>
      <c r="D10" s="83">
        <f>MKT</f>
        <v>1300</v>
      </c>
      <c r="F10" s="177"/>
      <c r="I10" s="10"/>
      <c r="J10" s="9"/>
      <c r="L10" s="61"/>
    </row>
    <row r="11" spans="2:12">
      <c r="B11" s="71"/>
      <c r="C11" s="83"/>
      <c r="D11" s="83"/>
      <c r="F11" s="177" t="s">
        <v>266</v>
      </c>
      <c r="I11" s="10"/>
      <c r="J11" s="9"/>
      <c r="K11" s="317">
        <f>K9*CMP</f>
        <v>50960</v>
      </c>
      <c r="L11" s="61"/>
    </row>
    <row r="12" spans="2:12">
      <c r="B12" s="71" t="s">
        <v>260</v>
      </c>
      <c r="C12" s="83">
        <v>1</v>
      </c>
      <c r="D12" s="83">
        <f>ING</f>
        <v>1500</v>
      </c>
      <c r="F12" s="177" t="s">
        <v>235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7" t="s">
        <v>236</v>
      </c>
      <c r="I13" s="10"/>
      <c r="J13" s="9"/>
      <c r="K13" s="1">
        <f>C18*ADOP</f>
        <v>6000</v>
      </c>
      <c r="L13" s="61"/>
    </row>
    <row r="14" spans="2:12">
      <c r="B14" s="71" t="s">
        <v>36</v>
      </c>
      <c r="C14" s="83">
        <v>0</v>
      </c>
      <c r="D14" s="83">
        <f>ING</f>
        <v>1500</v>
      </c>
      <c r="F14" s="177" t="s">
        <v>212</v>
      </c>
      <c r="I14" s="10"/>
      <c r="J14" s="9"/>
      <c r="K14" s="11">
        <f>'Investment project Q2'!C18/'Investment project Q2'!G18</f>
        <v>1000</v>
      </c>
      <c r="L14" s="61"/>
    </row>
    <row r="15" spans="2:12">
      <c r="B15" s="71"/>
      <c r="C15" s="83"/>
      <c r="D15" s="83"/>
      <c r="F15" s="177"/>
      <c r="I15" s="10"/>
      <c r="J15" s="9"/>
      <c r="L15" s="10"/>
    </row>
    <row r="16" spans="2:12">
      <c r="B16" s="71" t="s">
        <v>25</v>
      </c>
      <c r="C16" s="83"/>
      <c r="D16" s="83"/>
      <c r="F16" s="9" t="s">
        <v>124</v>
      </c>
      <c r="I16" s="10"/>
      <c r="J16" s="9"/>
      <c r="K16" s="329">
        <f>SUM(K11:K14)</f>
        <v>59460</v>
      </c>
      <c r="L16" s="10"/>
    </row>
    <row r="17" spans="2:13">
      <c r="B17" s="71" t="s">
        <v>261</v>
      </c>
      <c r="C17" s="83"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262</v>
      </c>
      <c r="C18" s="83">
        <v>6</v>
      </c>
      <c r="D18" s="83">
        <f>ADOP</f>
        <v>1000</v>
      </c>
      <c r="F18" s="177" t="s">
        <v>237</v>
      </c>
      <c r="I18" s="10"/>
      <c r="J18" s="9"/>
      <c r="K18" s="318">
        <f>K16/K9</f>
        <v>18.668759811616955</v>
      </c>
      <c r="L18" s="19" t="s">
        <v>14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64</v>
      </c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D24" s="1">
        <f>F24*H24+J24*L24</f>
        <v>79500</v>
      </c>
      <c r="F24" s="9">
        <f>'Investment project Q2'!H9</f>
        <v>1400</v>
      </c>
      <c r="G24" s="2" t="s">
        <v>70</v>
      </c>
      <c r="H24" s="1">
        <f>PVB2C</f>
        <v>30</v>
      </c>
      <c r="I24" s="349" t="s">
        <v>71</v>
      </c>
      <c r="J24" s="9">
        <f>'Investment project Q2'!H10</f>
        <v>1500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I25" s="349"/>
      <c r="J25" s="9"/>
      <c r="K25" s="2"/>
      <c r="M25" s="349"/>
    </row>
    <row r="26" spans="2:13">
      <c r="B26" s="1" t="s">
        <v>66</v>
      </c>
      <c r="D26" s="33">
        <f>-L35</f>
        <v>-54752.106227106233</v>
      </c>
      <c r="F26" s="7">
        <f>F24</f>
        <v>1400</v>
      </c>
      <c r="G26" s="25" t="s">
        <v>70</v>
      </c>
      <c r="H26" s="337">
        <f>L44</f>
        <v>18.880036630036628</v>
      </c>
      <c r="I26" s="350" t="s">
        <v>71</v>
      </c>
      <c r="J26" s="7">
        <f>J24</f>
        <v>1500</v>
      </c>
      <c r="K26" s="25" t="s">
        <v>70</v>
      </c>
      <c r="L26" s="337">
        <f>L44</f>
        <v>18.880036630036628</v>
      </c>
      <c r="M26" s="350" t="s">
        <v>71</v>
      </c>
    </row>
    <row r="28" spans="2:13">
      <c r="B28" s="1" t="s">
        <v>67</v>
      </c>
      <c r="D28" s="1">
        <f>D24+D26</f>
        <v>24747.893772893767</v>
      </c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D30" s="1">
        <f>-(C6*MAN+C8*ADOP)</f>
        <v>-3000</v>
      </c>
      <c r="F30" s="5" t="s">
        <v>94</v>
      </c>
      <c r="H30" s="1">
        <f>'May-2'!L31</f>
        <v>870</v>
      </c>
      <c r="J30" s="1" t="s">
        <v>65</v>
      </c>
      <c r="L30" s="10">
        <f>F24+J24</f>
        <v>2900</v>
      </c>
    </row>
    <row r="31" spans="2:13">
      <c r="B31" s="1" t="s">
        <v>100</v>
      </c>
      <c r="D31" s="1">
        <f>-C10*MKT</f>
        <v>-3900</v>
      </c>
      <c r="F31" s="13" t="s">
        <v>25</v>
      </c>
      <c r="G31" s="11"/>
      <c r="H31" s="11">
        <f>L30+L31-H30</f>
        <v>3185</v>
      </c>
      <c r="I31" s="11"/>
      <c r="J31" s="11" t="s">
        <v>90</v>
      </c>
      <c r="K31" s="11"/>
      <c r="L31" s="8">
        <f>K7</f>
        <v>1155</v>
      </c>
    </row>
    <row r="32" spans="2:13">
      <c r="B32" s="31" t="s">
        <v>188</v>
      </c>
      <c r="D32" s="11">
        <f>-C12*ING</f>
        <v>-1500</v>
      </c>
      <c r="F32" s="14" t="s">
        <v>6</v>
      </c>
      <c r="G32" s="15"/>
      <c r="H32" s="15">
        <f>H30+H31</f>
        <v>4055</v>
      </c>
      <c r="I32" s="15"/>
      <c r="J32" s="16" t="s">
        <v>6</v>
      </c>
      <c r="K32" s="15"/>
      <c r="L32" s="17">
        <f>L30+L31</f>
        <v>4055</v>
      </c>
    </row>
    <row r="33" spans="2:12">
      <c r="B33" s="31"/>
      <c r="J33" s="2"/>
    </row>
    <row r="34" spans="2:12">
      <c r="B34" s="1" t="s">
        <v>250</v>
      </c>
      <c r="D34" s="1">
        <f>D28+D31+D30+D32</f>
        <v>16347.893772893767</v>
      </c>
      <c r="F34" s="14"/>
      <c r="G34" s="15"/>
      <c r="H34" s="15"/>
      <c r="I34" s="24" t="s">
        <v>113</v>
      </c>
      <c r="J34" s="15"/>
      <c r="K34" s="15"/>
      <c r="L34" s="17"/>
    </row>
    <row r="35" spans="2:12">
      <c r="F35" s="5" t="s">
        <v>94</v>
      </c>
      <c r="H35" s="1">
        <f>'May-2'!L36</f>
        <v>16854.523809523809</v>
      </c>
      <c r="I35" s="334">
        <f>'May-2'!K36</f>
        <v>19.373015873015873</v>
      </c>
      <c r="J35" s="1" t="s">
        <v>120</v>
      </c>
      <c r="K35" s="336">
        <f>L44</f>
        <v>18.880036630036628</v>
      </c>
      <c r="L35" s="32">
        <f>H35+H36-L36</f>
        <v>54752.106227106233</v>
      </c>
    </row>
    <row r="36" spans="2:12">
      <c r="B36" s="1" t="s">
        <v>238</v>
      </c>
      <c r="D36" s="1">
        <f>-'Investment project Q2'!C82</f>
        <v>-240</v>
      </c>
      <c r="F36" s="129" t="s">
        <v>119</v>
      </c>
      <c r="G36" s="11"/>
      <c r="H36" s="328">
        <f>K16</f>
        <v>59460</v>
      </c>
      <c r="I36" s="335">
        <f>K18</f>
        <v>18.668759811616955</v>
      </c>
      <c r="J36" s="11" t="s">
        <v>90</v>
      </c>
      <c r="K36" s="335">
        <f>K18</f>
        <v>18.668759811616955</v>
      </c>
      <c r="L36" s="8">
        <f>L31*K18</f>
        <v>21562.417582417584</v>
      </c>
    </row>
    <row r="37" spans="2:12">
      <c r="F37" s="14" t="s">
        <v>6</v>
      </c>
      <c r="G37" s="15"/>
      <c r="H37" s="15">
        <f>H35+H36</f>
        <v>76314.523809523816</v>
      </c>
      <c r="I37" s="15"/>
      <c r="J37" s="16" t="s">
        <v>6</v>
      </c>
      <c r="K37" s="15"/>
      <c r="L37" s="17">
        <f>L35+L36</f>
        <v>76314.523809523816</v>
      </c>
    </row>
    <row r="38" spans="2:12">
      <c r="B38" s="1" t="s">
        <v>239</v>
      </c>
      <c r="D38" s="1">
        <f>D34+D36</f>
        <v>16107.893772893767</v>
      </c>
    </row>
    <row r="39" spans="2:12">
      <c r="F39" s="29"/>
      <c r="G39" s="15"/>
      <c r="H39" s="15"/>
      <c r="I39" s="24" t="s">
        <v>114</v>
      </c>
      <c r="J39" s="15"/>
      <c r="K39" s="15"/>
      <c r="L39" s="17"/>
    </row>
    <row r="40" spans="2:12">
      <c r="B40" s="1" t="s">
        <v>240</v>
      </c>
      <c r="D40" s="11">
        <f>-D38*C75</f>
        <v>-3221.5787545787534</v>
      </c>
      <c r="F40" s="9"/>
      <c r="L40" s="10"/>
    </row>
    <row r="41" spans="2:12">
      <c r="F41" s="177" t="s">
        <v>121</v>
      </c>
      <c r="H41" s="2">
        <f>H30</f>
        <v>870</v>
      </c>
      <c r="I41" s="1" t="s">
        <v>46</v>
      </c>
      <c r="J41" s="338">
        <f>I35</f>
        <v>19.373015873015873</v>
      </c>
      <c r="K41" s="2" t="s">
        <v>23</v>
      </c>
      <c r="L41" s="6">
        <f>H41*J41</f>
        <v>16854.523809523809</v>
      </c>
    </row>
    <row r="42" spans="2:12" ht="17" thickBot="1">
      <c r="B42" s="1" t="s">
        <v>241</v>
      </c>
      <c r="D42" s="1">
        <f>D38+D40</f>
        <v>12886.315018315014</v>
      </c>
      <c r="F42" s="177" t="s">
        <v>122</v>
      </c>
      <c r="H42" s="342">
        <f>L30-H30</f>
        <v>2030</v>
      </c>
      <c r="I42" s="1" t="s">
        <v>46</v>
      </c>
      <c r="J42" s="341">
        <f>I36</f>
        <v>18.668759811616955</v>
      </c>
      <c r="K42" s="2" t="s">
        <v>23</v>
      </c>
      <c r="L42" s="6">
        <f>H42*J42</f>
        <v>37897.582417582416</v>
      </c>
    </row>
    <row r="43" spans="2:12">
      <c r="F43" s="5" t="s">
        <v>123</v>
      </c>
      <c r="H43" s="2">
        <f>H41+H42</f>
        <v>2900</v>
      </c>
      <c r="J43" s="36" t="s">
        <v>124</v>
      </c>
      <c r="K43" s="2" t="s">
        <v>23</v>
      </c>
      <c r="L43" s="340">
        <f>L41+L42</f>
        <v>54752.106227106226</v>
      </c>
    </row>
    <row r="44" spans="2:12">
      <c r="F44" s="13"/>
      <c r="G44" s="11"/>
      <c r="H44" s="11"/>
      <c r="I44" s="11"/>
      <c r="J44" s="112" t="s">
        <v>117</v>
      </c>
      <c r="K44" s="25" t="s">
        <v>23</v>
      </c>
      <c r="L44" s="339">
        <f>L43/L30</f>
        <v>18.880036630036628</v>
      </c>
    </row>
    <row r="45" spans="2:12" ht="19">
      <c r="B45" s="12" t="s">
        <v>72</v>
      </c>
    </row>
    <row r="46" spans="2:12">
      <c r="F46" s="14"/>
      <c r="G46" s="15"/>
      <c r="H46" s="15"/>
      <c r="I46" s="24" t="s">
        <v>89</v>
      </c>
      <c r="J46" s="15"/>
      <c r="K46" s="15"/>
      <c r="L46" s="17"/>
    </row>
    <row r="47" spans="2:12">
      <c r="B47" s="1" t="s">
        <v>73</v>
      </c>
      <c r="D47" s="20">
        <f>L47</f>
        <v>69500</v>
      </c>
      <c r="F47" s="5" t="s">
        <v>94</v>
      </c>
      <c r="H47" s="1">
        <f>'May-2'!L48</f>
        <v>27500</v>
      </c>
      <c r="J47" s="1" t="s">
        <v>95</v>
      </c>
      <c r="L47" s="21">
        <f>H47+H48-L48</f>
        <v>69500</v>
      </c>
    </row>
    <row r="48" spans="2:12">
      <c r="B48" s="1" t="s">
        <v>242</v>
      </c>
      <c r="D48" s="1">
        <v>0</v>
      </c>
      <c r="F48" s="13" t="s">
        <v>65</v>
      </c>
      <c r="G48" s="11"/>
      <c r="H48" s="11">
        <f>D24</f>
        <v>79500</v>
      </c>
      <c r="I48" s="11"/>
      <c r="J48" s="11" t="s">
        <v>90</v>
      </c>
      <c r="K48" s="11"/>
      <c r="L48" s="8">
        <f>J24*L24</f>
        <v>37500</v>
      </c>
    </row>
    <row r="49" spans="2:12">
      <c r="F49" s="14" t="s">
        <v>6</v>
      </c>
      <c r="G49" s="15"/>
      <c r="H49" s="15">
        <f>H47+H48</f>
        <v>107000</v>
      </c>
      <c r="I49" s="15"/>
      <c r="J49" s="16" t="s">
        <v>6</v>
      </c>
      <c r="K49" s="15"/>
      <c r="L49" s="17">
        <f>L47+L48</f>
        <v>107000</v>
      </c>
    </row>
    <row r="50" spans="2:12">
      <c r="B50" s="1" t="s">
        <v>281</v>
      </c>
      <c r="D50" s="1">
        <f>D47+D48</f>
        <v>69500</v>
      </c>
    </row>
    <row r="52" spans="2:12">
      <c r="B52" s="1" t="s">
        <v>74</v>
      </c>
      <c r="F52" s="14"/>
      <c r="G52" s="15"/>
      <c r="H52" s="15"/>
      <c r="I52" s="24" t="s">
        <v>86</v>
      </c>
      <c r="J52" s="15"/>
      <c r="K52" s="15"/>
      <c r="L52" s="17"/>
    </row>
    <row r="53" spans="2:12">
      <c r="C53" s="1" t="s">
        <v>98</v>
      </c>
      <c r="D53" s="22">
        <f>-L53</f>
        <v>-45640</v>
      </c>
      <c r="F53" s="5" t="s">
        <v>94</v>
      </c>
      <c r="H53" s="1">
        <f>'May-2'!L54</f>
        <v>20160</v>
      </c>
      <c r="J53" s="1" t="s">
        <v>96</v>
      </c>
      <c r="L53" s="23">
        <f>H53+H54-L54</f>
        <v>45640</v>
      </c>
    </row>
    <row r="54" spans="2:12">
      <c r="C54" s="1" t="s">
        <v>11</v>
      </c>
      <c r="D54" s="1">
        <f>D30</f>
        <v>-3000</v>
      </c>
      <c r="F54" s="13" t="s">
        <v>97</v>
      </c>
      <c r="G54" s="11"/>
      <c r="H54" s="34">
        <f>K11</f>
        <v>50960</v>
      </c>
      <c r="I54" s="11"/>
      <c r="J54" s="11" t="s">
        <v>90</v>
      </c>
      <c r="K54" s="11"/>
      <c r="L54" s="8">
        <f>J57*H54</f>
        <v>25480</v>
      </c>
    </row>
    <row r="55" spans="2:12">
      <c r="C55" s="1" t="s">
        <v>125</v>
      </c>
      <c r="D55" s="1">
        <f>D31</f>
        <v>-3900</v>
      </c>
      <c r="F55" s="14" t="s">
        <v>6</v>
      </c>
      <c r="G55" s="15"/>
      <c r="H55" s="15">
        <f>H53+H54</f>
        <v>71120</v>
      </c>
      <c r="I55" s="15"/>
      <c r="J55" s="16" t="s">
        <v>6</v>
      </c>
      <c r="K55" s="15"/>
      <c r="L55" s="17">
        <f>L53+L54</f>
        <v>71120</v>
      </c>
    </row>
    <row r="56" spans="2:12">
      <c r="C56" s="1" t="s">
        <v>13</v>
      </c>
      <c r="D56" s="1">
        <f>D32</f>
        <v>-1500</v>
      </c>
      <c r="F56" s="1"/>
    </row>
    <row r="57" spans="2:12">
      <c r="C57" s="1" t="s">
        <v>243</v>
      </c>
      <c r="D57" s="1">
        <f>-K12</f>
        <v>-1500</v>
      </c>
      <c r="I57" s="29" t="s">
        <v>92</v>
      </c>
      <c r="J57" s="40">
        <v>0.5</v>
      </c>
      <c r="K57" s="351" t="s">
        <v>93</v>
      </c>
    </row>
    <row r="58" spans="2:12">
      <c r="C58" s="1" t="s">
        <v>252</v>
      </c>
      <c r="D58" s="1">
        <f>-K13</f>
        <v>-6000</v>
      </c>
    </row>
    <row r="59" spans="2:12">
      <c r="C59" s="1" t="s">
        <v>158</v>
      </c>
      <c r="D59" s="1">
        <v>0</v>
      </c>
    </row>
    <row r="60" spans="2:12">
      <c r="C60" s="1" t="s">
        <v>159</v>
      </c>
      <c r="D60" s="1">
        <v>0</v>
      </c>
      <c r="F60" s="1"/>
    </row>
    <row r="61" spans="2:12">
      <c r="C61" s="1" t="s">
        <v>244</v>
      </c>
      <c r="D61" s="1">
        <v>0</v>
      </c>
    </row>
    <row r="62" spans="2:12">
      <c r="C62" s="1" t="s">
        <v>245</v>
      </c>
      <c r="D62" s="1">
        <f>D36</f>
        <v>-240</v>
      </c>
    </row>
    <row r="64" spans="2:12">
      <c r="B64" s="1" t="s">
        <v>76</v>
      </c>
      <c r="D64" s="1">
        <f>SUM(D53:D62)</f>
        <v>-61780</v>
      </c>
    </row>
    <row r="66" spans="2:6">
      <c r="B66" s="26" t="s">
        <v>77</v>
      </c>
      <c r="C66" s="26"/>
      <c r="D66" s="26">
        <f>D50+D64</f>
        <v>7720</v>
      </c>
    </row>
    <row r="68" spans="2:6">
      <c r="B68" s="1" t="s">
        <v>78</v>
      </c>
      <c r="D68" s="1">
        <f>'May-2'!C99</f>
        <v>2780</v>
      </c>
    </row>
    <row r="70" spans="2:6">
      <c r="B70" s="1" t="s">
        <v>79</v>
      </c>
      <c r="D70" s="27">
        <f>D66+D68</f>
        <v>10500</v>
      </c>
    </row>
    <row r="73" spans="2:6" ht="19">
      <c r="B73" s="12" t="s">
        <v>139</v>
      </c>
      <c r="C73" s="36"/>
      <c r="D73" s="12" t="s">
        <v>129</v>
      </c>
    </row>
    <row r="74" spans="2:6" ht="19">
      <c r="D74" s="12"/>
    </row>
    <row r="75" spans="2:6">
      <c r="B75" s="31" t="s">
        <v>165</v>
      </c>
      <c r="C75" s="128">
        <f>TIS</f>
        <v>0.2</v>
      </c>
      <c r="D75" s="1" t="s">
        <v>130</v>
      </c>
      <c r="F75" s="2">
        <f>C81</f>
        <v>12886.315018315014</v>
      </c>
    </row>
    <row r="76" spans="2:6">
      <c r="C76" s="2"/>
    </row>
    <row r="77" spans="2:6">
      <c r="B77" s="1" t="s">
        <v>166</v>
      </c>
      <c r="C77" s="2">
        <f>D38</f>
        <v>16107.893772893767</v>
      </c>
      <c r="D77" s="1" t="s">
        <v>167</v>
      </c>
      <c r="F77" s="128">
        <v>0</v>
      </c>
    </row>
    <row r="78" spans="2:6">
      <c r="C78" s="2"/>
    </row>
    <row r="79" spans="2:6">
      <c r="B79" s="1" t="s">
        <v>141</v>
      </c>
      <c r="C79" s="2">
        <f>-C77*C75</f>
        <v>-3221.5787545787534</v>
      </c>
      <c r="D79" s="1" t="s">
        <v>131</v>
      </c>
      <c r="F79" s="302">
        <f>C81*F77</f>
        <v>0</v>
      </c>
    </row>
    <row r="80" spans="2:6">
      <c r="C80" s="2"/>
    </row>
    <row r="81" spans="2:12">
      <c r="B81" s="1" t="s">
        <v>167</v>
      </c>
      <c r="C81" s="2">
        <f>C77+C79</f>
        <v>12886.315018315014</v>
      </c>
      <c r="D81" s="1" t="s">
        <v>185</v>
      </c>
      <c r="F81" s="303">
        <f>C81-F79</f>
        <v>12886.315018315014</v>
      </c>
    </row>
    <row r="82" spans="2:12">
      <c r="F82" s="1"/>
    </row>
    <row r="83" spans="2:12" s="2" customFormat="1">
      <c r="B83" s="1"/>
      <c r="C83" s="1"/>
      <c r="D83" s="1"/>
      <c r="E83" s="1"/>
      <c r="G83" s="1"/>
      <c r="H83" s="1"/>
      <c r="I83" s="1"/>
      <c r="J83" s="1"/>
      <c r="K83" s="1"/>
      <c r="L83" s="1"/>
    </row>
    <row r="84" spans="2:12" s="2" customFormat="1" ht="19">
      <c r="B84" s="12" t="s">
        <v>80</v>
      </c>
      <c r="C84" s="1"/>
      <c r="D84" s="12"/>
      <c r="E84" s="1"/>
      <c r="G84" s="1"/>
      <c r="H84" s="1"/>
      <c r="I84" s="1"/>
      <c r="J84" s="1"/>
      <c r="K84" s="1"/>
      <c r="L84" s="1"/>
    </row>
    <row r="85" spans="2:12" s="2" customFormat="1">
      <c r="B85" s="1"/>
      <c r="C85" s="1"/>
      <c r="D85" s="1"/>
      <c r="E85" s="1"/>
      <c r="G85" s="1"/>
      <c r="H85" s="1"/>
      <c r="I85" s="1"/>
      <c r="J85" s="1"/>
      <c r="K85" s="1"/>
      <c r="L85" s="1"/>
    </row>
    <row r="86" spans="2:12" s="2" customFormat="1">
      <c r="B86" s="3"/>
      <c r="C86" s="4"/>
      <c r="D86" s="3"/>
      <c r="E86" s="4"/>
      <c r="G86" s="1"/>
      <c r="H86" s="1"/>
      <c r="I86" s="1"/>
      <c r="J86" s="1"/>
      <c r="K86" s="1"/>
      <c r="L86" s="1"/>
    </row>
    <row r="87" spans="2:12" s="2" customFormat="1">
      <c r="B87" s="5" t="s">
        <v>60</v>
      </c>
      <c r="C87" s="6"/>
      <c r="D87" s="5" t="s">
        <v>84</v>
      </c>
      <c r="E87" s="6"/>
      <c r="G87" s="1"/>
      <c r="H87" s="1"/>
      <c r="I87" s="1"/>
      <c r="J87" s="1"/>
      <c r="K87" s="1"/>
      <c r="L87" s="1"/>
    </row>
    <row r="88" spans="2:12" s="2" customFormat="1" ht="21">
      <c r="B88" s="7"/>
      <c r="C88" s="8"/>
      <c r="D88" s="7"/>
      <c r="E88" s="8"/>
      <c r="F88" s="30"/>
      <c r="G88" s="1"/>
      <c r="I88" s="31"/>
      <c r="J88" s="1"/>
      <c r="K88" s="1"/>
      <c r="L88" s="1"/>
    </row>
    <row r="89" spans="2:12" s="2" customFormat="1">
      <c r="B89" s="3"/>
      <c r="C89" s="4"/>
      <c r="D89" s="3"/>
      <c r="E89" s="4"/>
      <c r="F89" s="115"/>
      <c r="G89" s="116" t="s">
        <v>90</v>
      </c>
      <c r="H89" s="116"/>
      <c r="I89" s="117"/>
      <c r="J89" s="1"/>
      <c r="K89" s="1"/>
      <c r="L89" s="1"/>
    </row>
    <row r="90" spans="2:12" s="2" customFormat="1">
      <c r="B90" s="9"/>
      <c r="C90" s="10"/>
      <c r="D90" s="9" t="s">
        <v>62</v>
      </c>
      <c r="E90" s="10">
        <f>NA*PAR</f>
        <v>10000</v>
      </c>
      <c r="F90" s="5"/>
      <c r="G90" s="31" t="s">
        <v>283</v>
      </c>
      <c r="I90" s="6" t="s">
        <v>197</v>
      </c>
      <c r="J90" s="1"/>
      <c r="K90" s="1"/>
      <c r="L90" s="1"/>
    </row>
    <row r="91" spans="2:12" s="2" customFormat="1">
      <c r="B91" s="9" t="s">
        <v>248</v>
      </c>
      <c r="C91" s="122">
        <f>'Investment project Q2'!C18</f>
        <v>60000</v>
      </c>
      <c r="D91" s="9" t="s">
        <v>85</v>
      </c>
      <c r="E91" s="43">
        <f>G91+I91</f>
        <v>36209.93406593406</v>
      </c>
      <c r="F91" s="13" t="s">
        <v>23</v>
      </c>
      <c r="G91" s="11">
        <f>'May-2'!E91</f>
        <v>23323.619047619046</v>
      </c>
      <c r="H91" s="11"/>
      <c r="I91" s="118">
        <f>F81</f>
        <v>12886.315018315014</v>
      </c>
      <c r="J91" s="1"/>
      <c r="K91" s="1"/>
      <c r="L91" s="1"/>
    </row>
    <row r="92" spans="2:12" s="2" customFormat="1">
      <c r="B92" s="9" t="s">
        <v>271</v>
      </c>
      <c r="C92" s="123">
        <f>-K14+'May-2'!C92</f>
        <v>-3000</v>
      </c>
      <c r="D92" s="9" t="s">
        <v>82</v>
      </c>
      <c r="E92" s="10">
        <f>E90+E91</f>
        <v>46209.93406593406</v>
      </c>
      <c r="G92" s="1"/>
      <c r="H92" s="1"/>
      <c r="I92" s="1"/>
      <c r="J92" s="1"/>
      <c r="K92" s="1"/>
      <c r="L92" s="1"/>
    </row>
    <row r="93" spans="2:12" s="2" customFormat="1">
      <c r="B93" s="9" t="s">
        <v>247</v>
      </c>
      <c r="C93" s="122"/>
      <c r="D93" s="9"/>
      <c r="E93" s="10"/>
      <c r="G93" s="1"/>
      <c r="H93" s="1"/>
      <c r="I93" s="1"/>
      <c r="J93" s="1"/>
      <c r="K93" s="1"/>
      <c r="L93" s="1"/>
    </row>
    <row r="94" spans="2:12" s="2" customFormat="1">
      <c r="B94" s="9"/>
      <c r="C94" s="122">
        <f>C91+C92</f>
        <v>57000</v>
      </c>
      <c r="D94" s="9" t="s">
        <v>229</v>
      </c>
      <c r="E94" s="10">
        <f>'April-2'!E98</f>
        <v>48000</v>
      </c>
      <c r="G94" s="1"/>
      <c r="H94" s="1"/>
      <c r="I94" s="1"/>
      <c r="J94" s="1"/>
      <c r="K94" s="1"/>
      <c r="L94" s="1"/>
    </row>
    <row r="95" spans="2:12" s="2" customFormat="1">
      <c r="B95" s="9"/>
      <c r="C95" s="122"/>
      <c r="D95" s="9"/>
      <c r="E95" s="10"/>
      <c r="G95" s="1"/>
      <c r="H95" s="1"/>
      <c r="I95" s="1"/>
      <c r="J95" s="1"/>
      <c r="K95" s="1"/>
      <c r="L95" s="1"/>
    </row>
    <row r="96" spans="2:12" s="2" customFormat="1">
      <c r="B96" s="9" t="s">
        <v>127</v>
      </c>
      <c r="C96" s="10">
        <f>L36</f>
        <v>21562.417582417584</v>
      </c>
      <c r="D96" s="9" t="s">
        <v>135</v>
      </c>
      <c r="E96" s="41">
        <f>'May-2'!E96+'June-2'!D60+F79</f>
        <v>0</v>
      </c>
      <c r="G96" s="1"/>
      <c r="H96" s="1"/>
      <c r="I96" s="1"/>
      <c r="J96" s="1"/>
      <c r="K96" s="1"/>
      <c r="L96" s="1"/>
    </row>
    <row r="97" spans="2:12" s="2" customFormat="1">
      <c r="B97" s="9" t="s">
        <v>128</v>
      </c>
      <c r="C97" s="10">
        <f>L48</f>
        <v>37500</v>
      </c>
      <c r="D97" s="9" t="s">
        <v>86</v>
      </c>
      <c r="E97" s="10">
        <f>L54</f>
        <v>25480</v>
      </c>
      <c r="G97" s="1"/>
      <c r="H97" s="1"/>
      <c r="I97" s="1"/>
      <c r="J97" s="1"/>
      <c r="K97" s="1"/>
      <c r="L97" s="1"/>
    </row>
    <row r="98" spans="2:12" s="2" customFormat="1">
      <c r="B98" s="9"/>
      <c r="C98" s="10"/>
      <c r="D98" s="9" t="s">
        <v>145</v>
      </c>
      <c r="E98" s="10">
        <f>'May-2'!E98-'June-2'!C79+'June-2'!D59</f>
        <v>6872.4835164835149</v>
      </c>
      <c r="G98" s="1"/>
      <c r="H98" s="1"/>
      <c r="I98" s="1"/>
      <c r="J98" s="1"/>
      <c r="K98" s="1"/>
      <c r="L98" s="1"/>
    </row>
    <row r="99" spans="2:12" s="2" customFormat="1">
      <c r="B99" s="9" t="s">
        <v>63</v>
      </c>
      <c r="C99" s="28">
        <f>'June-2'!D70</f>
        <v>10500</v>
      </c>
      <c r="E99" s="6"/>
      <c r="G99" s="1"/>
      <c r="H99" s="1"/>
      <c r="I99" s="1"/>
      <c r="J99" s="1"/>
      <c r="K99" s="1"/>
      <c r="L99" s="1"/>
    </row>
    <row r="100" spans="2:12">
      <c r="B100" s="9"/>
      <c r="C100" s="10"/>
      <c r="D100" s="9"/>
      <c r="E100" s="10"/>
    </row>
    <row r="101" spans="2:12">
      <c r="B101" s="18" t="s">
        <v>88</v>
      </c>
      <c r="C101" s="19">
        <f>C97+C99+C96+C94</f>
        <v>126562.41758241758</v>
      </c>
      <c r="D101" s="18" t="s">
        <v>87</v>
      </c>
      <c r="E101" s="19">
        <f>E92+E97+E98+E96+E94</f>
        <v>126562.41758241758</v>
      </c>
    </row>
    <row r="102" spans="2:12">
      <c r="B102" s="7"/>
      <c r="C102" s="8"/>
      <c r="D102" s="7"/>
      <c r="E102" s="8"/>
    </row>
    <row r="105" spans="2:12" ht="19">
      <c r="B105" s="12" t="s">
        <v>182</v>
      </c>
    </row>
    <row r="107" spans="2:12">
      <c r="B107" s="1" t="s">
        <v>173</v>
      </c>
      <c r="D107" s="2">
        <f>'Financial analysis June-2'!L99</f>
        <v>33582.417582417584</v>
      </c>
    </row>
    <row r="108" spans="2:12">
      <c r="D108" s="2"/>
    </row>
    <row r="109" spans="2:12">
      <c r="B109" s="26" t="s">
        <v>183</v>
      </c>
      <c r="C109" s="26"/>
      <c r="D109" s="127">
        <f>'Financial analysis June-2'!L99-'Financial analysis June-2'!K99</f>
        <v>9387.8937728937744</v>
      </c>
    </row>
    <row r="110" spans="2:12">
      <c r="D110" s="2"/>
    </row>
    <row r="111" spans="2:12">
      <c r="B111" s="1" t="s">
        <v>249</v>
      </c>
      <c r="D111" s="2">
        <f>D34</f>
        <v>16347.893772893767</v>
      </c>
    </row>
    <row r="112" spans="2:12">
      <c r="B112" s="1" t="s">
        <v>251</v>
      </c>
      <c r="D112" s="25">
        <f>K14</f>
        <v>1000</v>
      </c>
    </row>
    <row r="113" spans="2:4">
      <c r="D113" s="2"/>
    </row>
    <row r="114" spans="2:4">
      <c r="B114" s="26" t="s">
        <v>29</v>
      </c>
      <c r="C114" s="26"/>
      <c r="D114" s="127">
        <f>D111+D112</f>
        <v>17347.893772893767</v>
      </c>
    </row>
    <row r="115" spans="2:4">
      <c r="D115" s="2"/>
    </row>
    <row r="116" spans="2:4" ht="19">
      <c r="B116" s="87" t="s">
        <v>184</v>
      </c>
      <c r="C116" s="87"/>
      <c r="D116" s="126">
        <f>D114-D109</f>
        <v>7959.9999999999927</v>
      </c>
    </row>
    <row r="117" spans="2:4">
      <c r="D117" s="2"/>
    </row>
    <row r="118" spans="2:4">
      <c r="B118" s="1" t="s">
        <v>176</v>
      </c>
      <c r="D118" s="2">
        <f>D59</f>
        <v>0</v>
      </c>
    </row>
    <row r="119" spans="2:4">
      <c r="B119" s="1" t="s">
        <v>253</v>
      </c>
      <c r="D119" s="25">
        <f>D36</f>
        <v>-240</v>
      </c>
    </row>
    <row r="120" spans="2:4">
      <c r="D120" s="2"/>
    </row>
    <row r="121" spans="2:4">
      <c r="B121" s="1" t="s">
        <v>254</v>
      </c>
      <c r="D121" s="2">
        <f>D116+D119</f>
        <v>7719.9999999999927</v>
      </c>
    </row>
    <row r="122" spans="2:4">
      <c r="D122" s="2"/>
    </row>
    <row r="123" spans="2:4">
      <c r="B123" s="1" t="s">
        <v>255</v>
      </c>
      <c r="D123" s="25">
        <f>D61</f>
        <v>0</v>
      </c>
    </row>
    <row r="124" spans="2:4">
      <c r="D124" s="2"/>
    </row>
    <row r="125" spans="2:4">
      <c r="B125" s="1" t="s">
        <v>256</v>
      </c>
      <c r="D125" s="2">
        <f>D121+D123</f>
        <v>7719.9999999999927</v>
      </c>
    </row>
    <row r="126" spans="2:4">
      <c r="D126" s="2"/>
    </row>
    <row r="127" spans="2:4">
      <c r="B127" s="1" t="s">
        <v>257</v>
      </c>
      <c r="D127" s="2">
        <v>0</v>
      </c>
    </row>
    <row r="128" spans="2:4">
      <c r="D128" s="2"/>
    </row>
    <row r="129" spans="2:4">
      <c r="B129" s="1" t="s">
        <v>177</v>
      </c>
      <c r="D129" s="25">
        <f>D60</f>
        <v>0</v>
      </c>
    </row>
    <row r="130" spans="2:4">
      <c r="D130" s="2"/>
    </row>
    <row r="131" spans="2:4">
      <c r="B131" s="26" t="s">
        <v>178</v>
      </c>
      <c r="C131" s="26"/>
      <c r="D131" s="127">
        <f>D125+D127</f>
        <v>7719.9999999999927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DFE0-1E98-A74F-AF99-00041F01EEE0}">
  <dimension ref="B3:L111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2" width="10.83203125" style="89"/>
  </cols>
  <sheetData>
    <row r="3" spans="2:12" ht="19">
      <c r="B3" s="12"/>
    </row>
    <row r="4" spans="2:12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</row>
    <row r="5" spans="2:12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</row>
    <row r="6" spans="2:12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</row>
    <row r="7" spans="2:12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</row>
    <row r="8" spans="2:12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</row>
    <row r="9" spans="2:12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</row>
    <row r="10" spans="2:12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</row>
    <row r="11" spans="2:12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</row>
    <row r="12" spans="2:12">
      <c r="B12" s="71" t="s">
        <v>108</v>
      </c>
      <c r="C12" s="100">
        <f>C8+C10</f>
        <v>2000</v>
      </c>
      <c r="D12" s="100">
        <f t="shared" ref="D12:K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ref="L12" si="1">L8+L10</f>
        <v>24747.893772893767</v>
      </c>
    </row>
    <row r="13" spans="2:12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</row>
    <row r="14" spans="2:12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</row>
    <row r="15" spans="2:12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</row>
    <row r="16" spans="2:12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</row>
    <row r="17" spans="2:12">
      <c r="B17" s="71"/>
      <c r="C17" s="100"/>
      <c r="D17" s="100"/>
      <c r="E17" s="100"/>
      <c r="F17" s="100"/>
      <c r="G17" s="137"/>
      <c r="H17" s="137"/>
      <c r="I17" s="137"/>
      <c r="J17" s="182"/>
      <c r="K17" s="182"/>
      <c r="L17" s="182"/>
    </row>
    <row r="18" spans="2:12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>H12+H14+H15+H16</f>
        <v>4700</v>
      </c>
      <c r="I18" s="136">
        <f>I12+I14+I15+I16</f>
        <v>1900</v>
      </c>
      <c r="J18" s="181">
        <f>J12+J14+J15+J16</f>
        <v>6100</v>
      </c>
      <c r="K18" s="181">
        <f>K12+K14+K15+K16</f>
        <v>5834.5238095238092</v>
      </c>
      <c r="L18" s="181">
        <f>L12+L14+L15+L16</f>
        <v>16347.893772893767</v>
      </c>
    </row>
    <row r="19" spans="2:12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183"/>
      <c r="K19" s="183"/>
      <c r="L19" s="183"/>
    </row>
    <row r="20" spans="2:12">
      <c r="B20" s="71"/>
      <c r="C20" s="100"/>
      <c r="D20" s="100"/>
      <c r="E20" s="100"/>
      <c r="F20" s="100"/>
      <c r="G20" s="136"/>
      <c r="H20" s="136"/>
      <c r="I20" s="136"/>
      <c r="J20" s="181"/>
      <c r="K20" s="181"/>
      <c r="L20" s="181"/>
    </row>
    <row r="21" spans="2:12">
      <c r="B21" s="71" t="s">
        <v>144</v>
      </c>
      <c r="C21" s="100">
        <f>C18+C19</f>
        <v>1000</v>
      </c>
      <c r="D21" s="100">
        <f t="shared" ref="D21:K21" si="3">D18+D19</f>
        <v>2000</v>
      </c>
      <c r="E21" s="100">
        <f t="shared" si="3"/>
        <v>3700</v>
      </c>
      <c r="F21" s="100">
        <f t="shared" si="3"/>
        <v>6700</v>
      </c>
      <c r="G21" s="139">
        <f t="shared" si="3"/>
        <v>200</v>
      </c>
      <c r="H21" s="139">
        <f t="shared" si="3"/>
        <v>4700</v>
      </c>
      <c r="I21" s="139">
        <f t="shared" si="3"/>
        <v>1900</v>
      </c>
      <c r="J21" s="184">
        <f t="shared" si="3"/>
        <v>6100</v>
      </c>
      <c r="K21" s="184">
        <f t="shared" si="3"/>
        <v>5834.5238095238092</v>
      </c>
      <c r="L21" s="184">
        <f t="shared" ref="L21" si="4">L18+L19</f>
        <v>16347.893772893767</v>
      </c>
    </row>
    <row r="22" spans="2:12">
      <c r="B22" s="71"/>
      <c r="C22" s="100"/>
      <c r="D22" s="100"/>
      <c r="E22" s="100"/>
      <c r="F22" s="100"/>
      <c r="G22" s="139"/>
      <c r="H22" s="139"/>
      <c r="I22" s="139"/>
      <c r="J22" s="184"/>
      <c r="K22" s="184"/>
      <c r="L22" s="184"/>
    </row>
    <row r="23" spans="2:12">
      <c r="B23" s="71" t="s">
        <v>263</v>
      </c>
      <c r="C23" s="99"/>
      <c r="D23" s="99"/>
      <c r="E23" s="99"/>
      <c r="F23" s="99"/>
      <c r="G23" s="140"/>
      <c r="H23" s="140"/>
      <c r="I23" s="140"/>
      <c r="J23" s="185">
        <f>'April-2'!D36</f>
        <v>-240</v>
      </c>
      <c r="K23" s="185">
        <f>'May-2'!D36</f>
        <v>-240</v>
      </c>
      <c r="L23" s="185">
        <f>'June-2'!D36</f>
        <v>-240</v>
      </c>
    </row>
    <row r="24" spans="2:12">
      <c r="B24" s="71"/>
      <c r="C24" s="100"/>
      <c r="D24" s="100"/>
      <c r="E24" s="100"/>
      <c r="F24" s="100"/>
      <c r="G24" s="139"/>
      <c r="H24" s="139"/>
      <c r="I24" s="139"/>
      <c r="J24" s="184"/>
      <c r="K24" s="184"/>
      <c r="L24" s="184"/>
    </row>
    <row r="25" spans="2:12">
      <c r="B25" s="71" t="s">
        <v>264</v>
      </c>
      <c r="C25" s="100"/>
      <c r="D25" s="100"/>
      <c r="E25" s="100"/>
      <c r="F25" s="100"/>
      <c r="G25" s="139"/>
      <c r="H25" s="139"/>
      <c r="I25" s="139"/>
      <c r="J25" s="184">
        <f>J21+J23</f>
        <v>5860</v>
      </c>
      <c r="K25" s="184">
        <f>K21+K23</f>
        <v>5594.5238095238092</v>
      </c>
      <c r="L25" s="184">
        <f>L21+L23</f>
        <v>16107.893772893767</v>
      </c>
    </row>
    <row r="26" spans="2:12">
      <c r="B26" s="71"/>
      <c r="C26" s="100"/>
      <c r="D26" s="100"/>
      <c r="E26" s="100"/>
      <c r="F26" s="100"/>
      <c r="G26" s="137"/>
      <c r="H26" s="137"/>
      <c r="I26" s="137"/>
      <c r="J26" s="182"/>
      <c r="K26" s="182"/>
      <c r="L26" s="182"/>
    </row>
    <row r="27" spans="2:12">
      <c r="B27" s="71" t="s">
        <v>265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0">
        <f t="shared" si="5"/>
        <v>-40</v>
      </c>
      <c r="H27" s="140">
        <f t="shared" si="5"/>
        <v>-940</v>
      </c>
      <c r="I27" s="140">
        <f t="shared" si="5"/>
        <v>-380</v>
      </c>
      <c r="J27" s="185">
        <f>'April-2'!D40</f>
        <v>-1172</v>
      </c>
      <c r="K27" s="185">
        <f>'May-2'!D40</f>
        <v>-1118.9047619047619</v>
      </c>
      <c r="L27" s="185">
        <f>'June-2'!D40</f>
        <v>-3221.5787545787534</v>
      </c>
    </row>
    <row r="28" spans="2:12">
      <c r="B28" s="71"/>
      <c r="C28" s="100"/>
      <c r="D28" s="100"/>
      <c r="E28" s="100"/>
      <c r="F28" s="100"/>
      <c r="G28" s="137"/>
      <c r="H28" s="137"/>
      <c r="I28" s="137"/>
      <c r="J28" s="182"/>
      <c r="K28" s="182"/>
      <c r="L28" s="182"/>
    </row>
    <row r="29" spans="2:12">
      <c r="B29" s="71" t="s">
        <v>167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39">
        <f t="shared" si="6"/>
        <v>160</v>
      </c>
      <c r="H29" s="139">
        <f t="shared" si="6"/>
        <v>3760</v>
      </c>
      <c r="I29" s="139">
        <f t="shared" si="6"/>
        <v>1520</v>
      </c>
      <c r="J29" s="184">
        <f>J25+J27</f>
        <v>4688</v>
      </c>
      <c r="K29" s="184">
        <f>K25+K27</f>
        <v>4475.6190476190477</v>
      </c>
      <c r="L29" s="184">
        <f>L25+L27</f>
        <v>12886.315018315014</v>
      </c>
    </row>
    <row r="30" spans="2:12">
      <c r="B30" s="53"/>
      <c r="C30" s="104"/>
      <c r="D30" s="104"/>
      <c r="E30" s="104"/>
      <c r="F30" s="104"/>
      <c r="G30" s="135"/>
      <c r="H30" s="135"/>
      <c r="I30" s="135"/>
      <c r="J30" s="180"/>
      <c r="K30" s="180"/>
      <c r="L30" s="180"/>
    </row>
    <row r="46" spans="2:12">
      <c r="B46" s="50"/>
      <c r="C46" s="102"/>
      <c r="D46" s="102"/>
      <c r="E46" s="102"/>
      <c r="F46" s="102"/>
      <c r="G46" s="133"/>
      <c r="H46" s="133"/>
      <c r="I46" s="133"/>
      <c r="J46" s="178"/>
      <c r="K46" s="178"/>
      <c r="L46" s="178"/>
    </row>
    <row r="47" spans="2:12" ht="19">
      <c r="B47" s="80" t="s">
        <v>21</v>
      </c>
      <c r="C47" s="103" t="s">
        <v>147</v>
      </c>
      <c r="D47" s="103" t="s">
        <v>148</v>
      </c>
      <c r="E47" s="103" t="s">
        <v>149</v>
      </c>
      <c r="F47" s="103" t="s">
        <v>150</v>
      </c>
      <c r="G47" s="134" t="s">
        <v>171</v>
      </c>
      <c r="H47" s="134" t="s">
        <v>190</v>
      </c>
      <c r="I47" s="134" t="s">
        <v>192</v>
      </c>
      <c r="J47" s="179" t="s">
        <v>195</v>
      </c>
      <c r="K47" s="179" t="s">
        <v>196</v>
      </c>
      <c r="L47" s="179" t="s">
        <v>197</v>
      </c>
    </row>
    <row r="48" spans="2:12">
      <c r="B48" s="53"/>
      <c r="C48" s="104"/>
      <c r="D48" s="104"/>
      <c r="E48" s="104"/>
      <c r="F48" s="104"/>
      <c r="G48" s="135"/>
      <c r="H48" s="135"/>
      <c r="I48" s="135"/>
      <c r="J48" s="180"/>
      <c r="K48" s="180"/>
      <c r="L48" s="180"/>
    </row>
    <row r="49" spans="2:12">
      <c r="B49" s="50"/>
      <c r="C49" s="102"/>
      <c r="D49" s="102"/>
      <c r="E49" s="102"/>
      <c r="F49" s="102"/>
      <c r="G49" s="133"/>
      <c r="H49" s="133"/>
      <c r="I49" s="133"/>
      <c r="J49" s="178"/>
      <c r="K49" s="178"/>
      <c r="L49" s="178"/>
    </row>
    <row r="50" spans="2:12">
      <c r="B50" s="71" t="s">
        <v>65</v>
      </c>
      <c r="C50" s="105">
        <f t="shared" ref="C50:K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1">
        <f t="shared" si="7"/>
        <v>1</v>
      </c>
      <c r="H50" s="141">
        <f t="shared" si="7"/>
        <v>1</v>
      </c>
      <c r="I50" s="141">
        <f t="shared" si="7"/>
        <v>1</v>
      </c>
      <c r="J50" s="186">
        <f t="shared" si="7"/>
        <v>1</v>
      </c>
      <c r="K50" s="186">
        <f t="shared" si="7"/>
        <v>1</v>
      </c>
      <c r="L50" s="186">
        <f t="shared" ref="L50" si="8">L8/L$8</f>
        <v>1</v>
      </c>
    </row>
    <row r="51" spans="2:12">
      <c r="B51" s="71"/>
      <c r="C51" s="100"/>
      <c r="D51" s="100"/>
      <c r="E51" s="100"/>
      <c r="F51" s="100"/>
      <c r="G51" s="136"/>
      <c r="H51" s="136"/>
      <c r="I51" s="136"/>
      <c r="J51" s="181"/>
      <c r="K51" s="181"/>
      <c r="L51" s="181"/>
    </row>
    <row r="52" spans="2:12">
      <c r="B52" s="71" t="s">
        <v>187</v>
      </c>
      <c r="C52" s="106">
        <f t="shared" ref="C52:K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2">
        <f t="shared" si="9"/>
        <v>-0.72727272727272729</v>
      </c>
      <c r="H52" s="142">
        <f t="shared" si="9"/>
        <v>-0.72463768115942029</v>
      </c>
      <c r="I52" s="142">
        <f t="shared" si="9"/>
        <v>-0.72727272727272729</v>
      </c>
      <c r="J52" s="187">
        <f t="shared" si="9"/>
        <v>-0.72380952380952379</v>
      </c>
      <c r="K52" s="187">
        <f t="shared" si="9"/>
        <v>-0.76471861471861469</v>
      </c>
      <c r="L52" s="187">
        <f t="shared" ref="L52" si="10">L10/L$8</f>
        <v>-0.68870573870573881</v>
      </c>
    </row>
    <row r="53" spans="2:12">
      <c r="B53" s="71"/>
      <c r="C53" s="100"/>
      <c r="D53" s="100"/>
      <c r="E53" s="100"/>
      <c r="F53" s="100"/>
      <c r="G53" s="136"/>
      <c r="H53" s="136"/>
      <c r="I53" s="136"/>
      <c r="J53" s="181"/>
      <c r="K53" s="181"/>
      <c r="L53" s="181"/>
    </row>
    <row r="54" spans="2:12">
      <c r="B54" s="71" t="s">
        <v>108</v>
      </c>
      <c r="C54" s="105">
        <f t="shared" ref="C54:K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1">
        <f t="shared" si="11"/>
        <v>0.27272727272727271</v>
      </c>
      <c r="H54" s="141">
        <f t="shared" si="11"/>
        <v>0.27536231884057971</v>
      </c>
      <c r="I54" s="141">
        <f t="shared" si="11"/>
        <v>0.27272727272727271</v>
      </c>
      <c r="J54" s="186">
        <f t="shared" si="11"/>
        <v>0.27619047619047621</v>
      </c>
      <c r="K54" s="186">
        <f t="shared" si="11"/>
        <v>0.23528138528138529</v>
      </c>
      <c r="L54" s="186">
        <f t="shared" ref="L54" si="12">L12/L$8</f>
        <v>0.31129426129426124</v>
      </c>
    </row>
    <row r="55" spans="2:12">
      <c r="B55" s="71"/>
      <c r="C55" s="100"/>
      <c r="D55" s="100"/>
      <c r="E55" s="100"/>
      <c r="F55" s="100"/>
      <c r="G55" s="136"/>
      <c r="H55" s="136"/>
      <c r="I55" s="136"/>
      <c r="J55" s="181"/>
      <c r="K55" s="181"/>
      <c r="L55" s="181"/>
    </row>
    <row r="56" spans="2:12">
      <c r="B56" s="71" t="s">
        <v>99</v>
      </c>
      <c r="C56" s="105">
        <f t="shared" ref="C56:K57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1">
        <f t="shared" si="13"/>
        <v>-7.2727272727272724E-2</v>
      </c>
      <c r="H56" s="141">
        <f t="shared" si="13"/>
        <v>-5.7971014492753624E-2</v>
      </c>
      <c r="I56" s="141">
        <f t="shared" si="13"/>
        <v>-7.792207792207792E-2</v>
      </c>
      <c r="J56" s="186">
        <f t="shared" si="13"/>
        <v>-5.7142857142857141E-2</v>
      </c>
      <c r="K56" s="186">
        <f t="shared" si="13"/>
        <v>-4.9586776859504134E-2</v>
      </c>
      <c r="L56" s="186">
        <f t="shared" ref="L56" si="14">L14/L$8</f>
        <v>-3.7735849056603772E-2</v>
      </c>
    </row>
    <row r="57" spans="2:12">
      <c r="B57" s="71" t="s">
        <v>100</v>
      </c>
      <c r="C57" s="100"/>
      <c r="D57" s="100"/>
      <c r="E57" s="105">
        <f t="shared" si="13"/>
        <v>-4.8148148148148148E-2</v>
      </c>
      <c r="F57" s="105">
        <f t="shared" si="13"/>
        <v>-3.6111111111111108E-2</v>
      </c>
      <c r="G57" s="141">
        <f t="shared" si="13"/>
        <v>-4.7272727272727272E-2</v>
      </c>
      <c r="H57" s="141">
        <f t="shared" si="13"/>
        <v>-3.7681159420289857E-2</v>
      </c>
      <c r="I57" s="141">
        <f t="shared" si="13"/>
        <v>-6.7532467532467527E-2</v>
      </c>
      <c r="J57" s="186">
        <f t="shared" si="13"/>
        <v>-7.4285714285714288E-2</v>
      </c>
      <c r="K57" s="186">
        <f t="shared" si="13"/>
        <v>-6.4462809917355368E-2</v>
      </c>
      <c r="L57" s="186">
        <f t="shared" ref="L57" si="15">L15/L$8</f>
        <v>-4.9056603773584909E-2</v>
      </c>
    </row>
    <row r="58" spans="2:12">
      <c r="B58" s="71" t="s">
        <v>188</v>
      </c>
      <c r="C58" s="99"/>
      <c r="D58" s="99"/>
      <c r="E58" s="99"/>
      <c r="F58" s="99"/>
      <c r="G58" s="138"/>
      <c r="H58" s="142">
        <f>H16/H$8</f>
        <v>-4.3478260869565216E-2</v>
      </c>
      <c r="I58" s="142">
        <f>I16/I$8</f>
        <v>-7.792207792207792E-2</v>
      </c>
      <c r="J58" s="187">
        <f>J16/J$8</f>
        <v>-2.8571428571428571E-2</v>
      </c>
      <c r="K58" s="187">
        <f>K16/K$8</f>
        <v>-2.4793388429752067E-2</v>
      </c>
      <c r="L58" s="187">
        <f>L16/L$8</f>
        <v>-1.8867924528301886E-2</v>
      </c>
    </row>
    <row r="59" spans="2:12">
      <c r="B59" s="71"/>
      <c r="C59" s="100"/>
      <c r="D59" s="100"/>
      <c r="E59" s="100"/>
      <c r="F59" s="100"/>
      <c r="G59" s="136"/>
      <c r="H59" s="136"/>
      <c r="I59" s="136"/>
      <c r="J59" s="181"/>
      <c r="K59" s="181"/>
      <c r="L59" s="181"/>
    </row>
    <row r="60" spans="2:12">
      <c r="B60" s="71" t="s">
        <v>181</v>
      </c>
      <c r="C60" s="105">
        <f t="shared" ref="C60:K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1">
        <f t="shared" si="16"/>
        <v>0.15272727272727274</v>
      </c>
      <c r="H60" s="141">
        <f t="shared" si="16"/>
        <v>0.13623188405797101</v>
      </c>
      <c r="I60" s="141">
        <f t="shared" si="16"/>
        <v>4.9350649350649353E-2</v>
      </c>
      <c r="J60" s="186">
        <f t="shared" si="16"/>
        <v>0.11619047619047619</v>
      </c>
      <c r="K60" s="186">
        <f t="shared" si="16"/>
        <v>9.6438410074773703E-2</v>
      </c>
      <c r="L60" s="186">
        <f t="shared" ref="L60" si="17">L18/L$8</f>
        <v>0.20563388393577064</v>
      </c>
    </row>
    <row r="61" spans="2:12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187"/>
      <c r="K61" s="187"/>
      <c r="L61" s="187"/>
    </row>
    <row r="62" spans="2:12">
      <c r="B62" s="71"/>
      <c r="C62" s="105"/>
      <c r="D62" s="105"/>
      <c r="E62" s="105"/>
      <c r="F62" s="105"/>
      <c r="G62" s="141"/>
      <c r="H62" s="141"/>
      <c r="I62" s="141"/>
      <c r="J62" s="186"/>
      <c r="K62" s="186"/>
      <c r="L62" s="186"/>
    </row>
    <row r="63" spans="2:12">
      <c r="B63" s="71" t="s">
        <v>144</v>
      </c>
      <c r="C63" s="105">
        <f>C60+C61</f>
        <v>0.16666666666666666</v>
      </c>
      <c r="D63" s="105">
        <f t="shared" ref="D63:K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3">
        <f t="shared" si="18"/>
        <v>7.2727272727272918E-3</v>
      </c>
      <c r="H63" s="143">
        <f t="shared" si="18"/>
        <v>0.13623188405797101</v>
      </c>
      <c r="I63" s="143">
        <f t="shared" si="18"/>
        <v>4.9350649350649353E-2</v>
      </c>
      <c r="J63" s="188">
        <f t="shared" si="18"/>
        <v>0.11619047619047619</v>
      </c>
      <c r="K63" s="188">
        <f t="shared" si="18"/>
        <v>9.6438410074773703E-2</v>
      </c>
      <c r="L63" s="188">
        <f t="shared" ref="L63" si="19">L60+L61</f>
        <v>0.20563388393577064</v>
      </c>
    </row>
    <row r="64" spans="2:12">
      <c r="B64" s="71"/>
      <c r="C64" s="105"/>
      <c r="D64" s="105"/>
      <c r="E64" s="105"/>
      <c r="F64" s="105"/>
      <c r="G64" s="143"/>
      <c r="H64" s="143"/>
      <c r="I64" s="143"/>
      <c r="J64" s="188"/>
      <c r="K64" s="188"/>
      <c r="L64" s="188"/>
    </row>
    <row r="65" spans="2:12">
      <c r="B65" s="71" t="s">
        <v>263</v>
      </c>
      <c r="C65" s="106"/>
      <c r="D65" s="106"/>
      <c r="E65" s="106"/>
      <c r="F65" s="106"/>
      <c r="G65" s="144"/>
      <c r="H65" s="144"/>
      <c r="I65" s="144"/>
      <c r="J65" s="187">
        <f>J23/J$8</f>
        <v>-4.5714285714285718E-3</v>
      </c>
      <c r="K65" s="187">
        <f>K23/K$8</f>
        <v>-3.9669421487603307E-3</v>
      </c>
      <c r="L65" s="187">
        <f>L23/L$8</f>
        <v>-3.0188679245283017E-3</v>
      </c>
    </row>
    <row r="66" spans="2:12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</row>
    <row r="67" spans="2:12">
      <c r="B67" s="71" t="s">
        <v>264</v>
      </c>
      <c r="C67" s="105"/>
      <c r="D67" s="105"/>
      <c r="E67" s="105"/>
      <c r="F67" s="105"/>
      <c r="G67" s="143"/>
      <c r="H67" s="143"/>
      <c r="I67" s="143"/>
      <c r="J67" s="188">
        <f>J63+J65</f>
        <v>0.11161904761904762</v>
      </c>
      <c r="K67" s="188">
        <f>K63+K65</f>
        <v>9.2471467926013379E-2</v>
      </c>
      <c r="L67" s="188">
        <f>L63+L65</f>
        <v>0.20261501601124235</v>
      </c>
    </row>
    <row r="68" spans="2:12">
      <c r="B68" s="71"/>
      <c r="C68" s="100"/>
      <c r="D68" s="100"/>
      <c r="E68" s="100"/>
      <c r="F68" s="100"/>
      <c r="G68" s="136"/>
      <c r="H68" s="136"/>
      <c r="I68" s="136"/>
      <c r="J68" s="181"/>
      <c r="K68" s="181"/>
      <c r="L68" s="181"/>
    </row>
    <row r="69" spans="2:12">
      <c r="B69" s="71" t="s">
        <v>265</v>
      </c>
      <c r="C69" s="106">
        <f t="shared" ref="C69:K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2">
        <f t="shared" si="20"/>
        <v>-1.4545454545454545E-3</v>
      </c>
      <c r="H69" s="142">
        <f t="shared" si="20"/>
        <v>-2.7246376811594204E-2</v>
      </c>
      <c r="I69" s="142">
        <f t="shared" si="20"/>
        <v>-9.870129870129871E-3</v>
      </c>
      <c r="J69" s="187">
        <f t="shared" si="20"/>
        <v>-2.2323809523809524E-2</v>
      </c>
      <c r="K69" s="187">
        <f t="shared" si="20"/>
        <v>-1.8494293585202676E-2</v>
      </c>
      <c r="L69" s="187">
        <f t="shared" ref="L69" si="21">L27/L$8</f>
        <v>-4.052300320224847E-2</v>
      </c>
    </row>
    <row r="70" spans="2:12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</row>
    <row r="71" spans="2:12">
      <c r="B71" s="71" t="s">
        <v>167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1">
        <f t="shared" si="22"/>
        <v>5.8181818181818178E-3</v>
      </c>
      <c r="H71" s="141">
        <f t="shared" si="22"/>
        <v>0.10898550724637682</v>
      </c>
      <c r="I71" s="141">
        <f t="shared" si="22"/>
        <v>3.9480519480519484E-2</v>
      </c>
      <c r="J71" s="186">
        <f>J67+J69</f>
        <v>8.9295238095238094E-2</v>
      </c>
      <c r="K71" s="186">
        <f>K67+K69</f>
        <v>7.3977174340810706E-2</v>
      </c>
      <c r="L71" s="186">
        <f>L67+L69</f>
        <v>0.16209201280899388</v>
      </c>
    </row>
    <row r="72" spans="2:12">
      <c r="B72" s="53"/>
      <c r="C72" s="104"/>
      <c r="D72" s="104"/>
      <c r="E72" s="104"/>
      <c r="F72" s="104"/>
      <c r="G72" s="135"/>
      <c r="H72" s="135"/>
      <c r="I72" s="135"/>
      <c r="J72" s="180"/>
      <c r="K72" s="180"/>
      <c r="L72" s="180"/>
    </row>
    <row r="88" spans="2:12" s="75" customFormat="1">
      <c r="B88" s="86"/>
      <c r="C88" s="102"/>
      <c r="D88" s="102"/>
      <c r="E88" s="102"/>
      <c r="F88" s="102"/>
      <c r="G88" s="133"/>
      <c r="H88" s="133"/>
      <c r="I88" s="133"/>
      <c r="J88" s="178"/>
      <c r="K88" s="178"/>
      <c r="L88" s="178"/>
    </row>
    <row r="89" spans="2:12" s="75" customFormat="1" ht="19">
      <c r="B89" s="80" t="s">
        <v>152</v>
      </c>
      <c r="C89" s="103" t="s">
        <v>147</v>
      </c>
      <c r="D89" s="103" t="s">
        <v>148</v>
      </c>
      <c r="E89" s="103" t="s">
        <v>149</v>
      </c>
      <c r="F89" s="103" t="s">
        <v>150</v>
      </c>
      <c r="G89" s="134" t="s">
        <v>171</v>
      </c>
      <c r="H89" s="134" t="s">
        <v>190</v>
      </c>
      <c r="I89" s="134" t="s">
        <v>192</v>
      </c>
      <c r="J89" s="179" t="s">
        <v>195</v>
      </c>
      <c r="K89" s="179" t="s">
        <v>196</v>
      </c>
      <c r="L89" s="179" t="s">
        <v>197</v>
      </c>
    </row>
    <row r="90" spans="2:12" s="75" customFormat="1">
      <c r="B90" s="72"/>
      <c r="C90" s="104"/>
      <c r="D90" s="104"/>
      <c r="E90" s="104"/>
      <c r="F90" s="104"/>
      <c r="G90" s="135"/>
      <c r="H90" s="135"/>
      <c r="I90" s="135"/>
      <c r="J90" s="180"/>
      <c r="K90" s="180"/>
      <c r="L90" s="180"/>
    </row>
    <row r="91" spans="2:12" s="75" customFormat="1">
      <c r="B91" s="86"/>
      <c r="C91" s="97"/>
      <c r="D91" s="97"/>
      <c r="E91" s="97"/>
      <c r="F91" s="97"/>
      <c r="G91" s="145"/>
      <c r="H91" s="145"/>
      <c r="I91" s="145"/>
      <c r="J91" s="189"/>
      <c r="K91" s="189"/>
      <c r="L91" s="189"/>
    </row>
    <row r="92" spans="2:12" s="75" customFormat="1">
      <c r="B92" s="71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184">
        <f>'April-2'!C100</f>
        <v>14300</v>
      </c>
      <c r="K92" s="184">
        <f>'May-2'!C96</f>
        <v>16854.523809523809</v>
      </c>
      <c r="L92" s="184">
        <f>'June-2'!L36</f>
        <v>21562.417582417584</v>
      </c>
    </row>
    <row r="93" spans="2:12" s="75" customFormat="1">
      <c r="B93" s="71"/>
      <c r="C93" s="100"/>
      <c r="D93" s="100"/>
      <c r="E93" s="100"/>
      <c r="F93" s="100"/>
      <c r="G93" s="139"/>
      <c r="H93" s="139"/>
      <c r="I93" s="139"/>
      <c r="J93" s="184"/>
      <c r="K93" s="184"/>
      <c r="L93" s="184"/>
    </row>
    <row r="94" spans="2:12" s="75" customFormat="1">
      <c r="B94" s="71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184">
        <f>'April-2'!C101</f>
        <v>22500</v>
      </c>
      <c r="K94" s="184">
        <f>'May-2'!C97</f>
        <v>27500</v>
      </c>
      <c r="L94" s="184">
        <f>'June-2'!L48</f>
        <v>37500</v>
      </c>
    </row>
    <row r="95" spans="2:12" s="75" customFormat="1">
      <c r="B95" s="71"/>
      <c r="C95" s="100"/>
      <c r="D95" s="100"/>
      <c r="E95" s="100"/>
      <c r="F95" s="100"/>
      <c r="G95" s="139"/>
      <c r="H95" s="139"/>
      <c r="I95" s="139"/>
      <c r="J95" s="184"/>
      <c r="K95" s="184"/>
      <c r="L95" s="184"/>
    </row>
    <row r="96" spans="2:12" s="75" customFormat="1">
      <c r="B96" s="71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184">
        <f>-'April-2'!E101</f>
        <v>-19400</v>
      </c>
      <c r="K96" s="184">
        <f>-'May-2'!E97</f>
        <v>-20160</v>
      </c>
      <c r="L96" s="184">
        <f>-'June-2'!L54</f>
        <v>-25480</v>
      </c>
    </row>
    <row r="97" spans="2:12" s="75" customFormat="1">
      <c r="B97" s="71"/>
      <c r="C97" s="99"/>
      <c r="D97" s="99"/>
      <c r="E97" s="99"/>
      <c r="F97" s="99"/>
      <c r="G97" s="140"/>
      <c r="H97" s="140"/>
      <c r="I97" s="140"/>
      <c r="J97" s="185"/>
      <c r="K97" s="185"/>
      <c r="L97" s="185"/>
    </row>
    <row r="98" spans="2:12" s="75" customFormat="1">
      <c r="B98" s="71"/>
      <c r="C98" s="100"/>
      <c r="D98" s="100"/>
      <c r="E98" s="100"/>
      <c r="F98" s="100"/>
      <c r="G98" s="139"/>
      <c r="H98" s="139"/>
      <c r="I98" s="139"/>
      <c r="J98" s="184"/>
      <c r="K98" s="184"/>
      <c r="L98" s="184"/>
    </row>
    <row r="99" spans="2:12" s="75" customFormat="1">
      <c r="B99" s="74" t="s">
        <v>155</v>
      </c>
      <c r="C99" s="101">
        <f>C92+C94+C96</f>
        <v>0</v>
      </c>
      <c r="D99" s="101">
        <f t="shared" ref="D99:K99" si="23">D92+D94+D96</f>
        <v>1000</v>
      </c>
      <c r="E99" s="101">
        <f t="shared" si="23"/>
        <v>10000</v>
      </c>
      <c r="F99" s="101">
        <f t="shared" si="23"/>
        <v>13000</v>
      </c>
      <c r="G99" s="147">
        <f t="shared" si="23"/>
        <v>8500</v>
      </c>
      <c r="H99" s="147">
        <f t="shared" si="23"/>
        <v>9000</v>
      </c>
      <c r="I99" s="147">
        <f t="shared" si="23"/>
        <v>12000</v>
      </c>
      <c r="J99" s="191">
        <f t="shared" si="23"/>
        <v>17400</v>
      </c>
      <c r="K99" s="191">
        <f t="shared" si="23"/>
        <v>24194.523809523809</v>
      </c>
      <c r="L99" s="191">
        <f t="shared" ref="L99" si="24">L92+L94+L96</f>
        <v>33582.417582417584</v>
      </c>
    </row>
    <row r="100" spans="2:12" s="75" customFormat="1">
      <c r="B100" s="72"/>
      <c r="C100" s="99"/>
      <c r="D100" s="99"/>
      <c r="E100" s="99"/>
      <c r="F100" s="99"/>
      <c r="G100" s="140"/>
      <c r="H100" s="140"/>
      <c r="I100" s="140"/>
      <c r="J100" s="185"/>
      <c r="K100" s="185"/>
      <c r="L100" s="185"/>
    </row>
    <row r="101" spans="2:12">
      <c r="B101" s="50"/>
      <c r="C101" s="102"/>
      <c r="D101" s="102"/>
      <c r="E101" s="102"/>
      <c r="F101" s="102"/>
      <c r="G101" s="133"/>
      <c r="H101" s="133"/>
      <c r="I101" s="133"/>
      <c r="J101" s="178"/>
      <c r="K101" s="178"/>
      <c r="L101" s="178"/>
    </row>
    <row r="102" spans="2:12">
      <c r="B102" s="71" t="s">
        <v>272</v>
      </c>
      <c r="C102" s="100">
        <f>C21</f>
        <v>1000</v>
      </c>
      <c r="D102" s="100">
        <f t="shared" ref="D102:L102" si="25">D21</f>
        <v>2000</v>
      </c>
      <c r="E102" s="100">
        <f t="shared" si="25"/>
        <v>3700</v>
      </c>
      <c r="F102" s="100">
        <f t="shared" si="25"/>
        <v>6700</v>
      </c>
      <c r="G102" s="139">
        <f t="shared" si="25"/>
        <v>200</v>
      </c>
      <c r="H102" s="139">
        <f t="shared" si="25"/>
        <v>4700</v>
      </c>
      <c r="I102" s="139">
        <f t="shared" si="25"/>
        <v>1900</v>
      </c>
      <c r="J102" s="184">
        <f t="shared" si="25"/>
        <v>6100</v>
      </c>
      <c r="K102" s="184">
        <f t="shared" si="25"/>
        <v>5834.5238095238092</v>
      </c>
      <c r="L102" s="184">
        <f t="shared" si="25"/>
        <v>16347.893772893767</v>
      </c>
    </row>
    <row r="103" spans="2:12">
      <c r="B103" s="130"/>
      <c r="C103" s="132"/>
      <c r="D103" s="132"/>
      <c r="E103" s="132"/>
      <c r="F103" s="132"/>
      <c r="G103" s="137"/>
      <c r="H103" s="137"/>
      <c r="I103" s="137"/>
      <c r="J103" s="182"/>
      <c r="K103" s="182"/>
      <c r="L103" s="182"/>
    </row>
    <row r="104" spans="2:12" s="1" customFormat="1">
      <c r="B104" s="71" t="s">
        <v>273</v>
      </c>
      <c r="C104" s="100">
        <v>0</v>
      </c>
      <c r="D104" s="100">
        <v>0</v>
      </c>
      <c r="E104" s="100">
        <v>0</v>
      </c>
      <c r="F104" s="100">
        <v>0</v>
      </c>
      <c r="G104" s="139">
        <v>0</v>
      </c>
      <c r="H104" s="139">
        <v>0</v>
      </c>
      <c r="I104" s="139">
        <v>0</v>
      </c>
      <c r="J104" s="181">
        <f>'April-2'!D116</f>
        <v>1000</v>
      </c>
      <c r="K104" s="181">
        <f>'May-2'!D112</f>
        <v>1000</v>
      </c>
      <c r="L104" s="181">
        <f>'June-2'!D112</f>
        <v>1000</v>
      </c>
    </row>
    <row r="105" spans="2:12" s="1" customFormat="1">
      <c r="B105" s="71"/>
      <c r="C105" s="100"/>
      <c r="D105" s="100"/>
      <c r="E105" s="100"/>
      <c r="F105" s="100"/>
      <c r="G105" s="136"/>
      <c r="H105" s="136"/>
      <c r="I105" s="136"/>
      <c r="J105" s="181"/>
      <c r="K105" s="181"/>
      <c r="L105" s="181"/>
    </row>
    <row r="106" spans="2:12" s="1" customFormat="1" ht="19">
      <c r="B106" s="131" t="s">
        <v>29</v>
      </c>
      <c r="C106" s="100">
        <f>C102+C104</f>
        <v>1000</v>
      </c>
      <c r="D106" s="100">
        <f t="shared" ref="D106:L106" si="26">D102+D104</f>
        <v>2000</v>
      </c>
      <c r="E106" s="100">
        <f t="shared" si="26"/>
        <v>3700</v>
      </c>
      <c r="F106" s="100">
        <f t="shared" si="26"/>
        <v>6700</v>
      </c>
      <c r="G106" s="139">
        <f t="shared" si="26"/>
        <v>200</v>
      </c>
      <c r="H106" s="139">
        <f t="shared" si="26"/>
        <v>4700</v>
      </c>
      <c r="I106" s="139">
        <f t="shared" si="26"/>
        <v>1900</v>
      </c>
      <c r="J106" s="184">
        <f t="shared" si="26"/>
        <v>7100</v>
      </c>
      <c r="K106" s="184">
        <f t="shared" si="26"/>
        <v>6834.5238095238092</v>
      </c>
      <c r="L106" s="184">
        <f t="shared" si="26"/>
        <v>17347.893772893767</v>
      </c>
    </row>
    <row r="107" spans="2:12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</row>
    <row r="108" spans="2:12" s="1" customFormat="1">
      <c r="B108" s="71" t="s">
        <v>274</v>
      </c>
      <c r="C108" s="100">
        <v>0</v>
      </c>
      <c r="D108" s="100">
        <f>-(D99-C99)</f>
        <v>-1000</v>
      </c>
      <c r="E108" s="100">
        <f t="shared" ref="E108:L108" si="27">-(E99-D99)</f>
        <v>-9000</v>
      </c>
      <c r="F108" s="100">
        <f t="shared" si="27"/>
        <v>-3000</v>
      </c>
      <c r="G108" s="139">
        <f t="shared" si="27"/>
        <v>4500</v>
      </c>
      <c r="H108" s="139">
        <f t="shared" si="27"/>
        <v>-500</v>
      </c>
      <c r="I108" s="139">
        <f t="shared" si="27"/>
        <v>-3000</v>
      </c>
      <c r="J108" s="184">
        <f t="shared" si="27"/>
        <v>-5400</v>
      </c>
      <c r="K108" s="184">
        <f t="shared" si="27"/>
        <v>-6794.5238095238092</v>
      </c>
      <c r="L108" s="184">
        <f t="shared" si="27"/>
        <v>-9387.8937728937744</v>
      </c>
    </row>
    <row r="109" spans="2:12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</row>
    <row r="110" spans="2:12" s="1" customFormat="1" ht="19">
      <c r="B110" s="131" t="s">
        <v>275</v>
      </c>
      <c r="C110" s="100">
        <f>C106+C108</f>
        <v>1000</v>
      </c>
      <c r="D110" s="100">
        <f t="shared" ref="D110:L110" si="28">D106+D108</f>
        <v>1000</v>
      </c>
      <c r="E110" s="100">
        <f t="shared" si="28"/>
        <v>-5300</v>
      </c>
      <c r="F110" s="100">
        <f t="shared" si="28"/>
        <v>3700</v>
      </c>
      <c r="G110" s="139">
        <f t="shared" si="28"/>
        <v>4700</v>
      </c>
      <c r="H110" s="139">
        <f t="shared" si="28"/>
        <v>4200</v>
      </c>
      <c r="I110" s="139">
        <f t="shared" si="28"/>
        <v>-1100</v>
      </c>
      <c r="J110" s="184">
        <f t="shared" si="28"/>
        <v>1700</v>
      </c>
      <c r="K110" s="184">
        <f t="shared" si="28"/>
        <v>40</v>
      </c>
      <c r="L110" s="184">
        <f t="shared" si="28"/>
        <v>7959.9999999999927</v>
      </c>
    </row>
    <row r="111" spans="2:12" s="1" customFormat="1">
      <c r="B111" s="72"/>
      <c r="C111" s="99"/>
      <c r="D111" s="99"/>
      <c r="E111" s="99"/>
      <c r="F111" s="99"/>
      <c r="G111" s="138"/>
      <c r="H111" s="138"/>
      <c r="I111" s="138"/>
      <c r="J111" s="183"/>
      <c r="K111" s="183"/>
      <c r="L111" s="183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7D33-4303-8041-AC41-62AE19C6C79E}">
  <dimension ref="B2:J138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22.6640625" style="46" customWidth="1"/>
    <col min="3" max="7" width="12.83203125" customWidth="1"/>
    <col min="8" max="9" width="12.83203125" style="89" customWidth="1"/>
    <col min="10" max="10" width="10.83203125" style="89"/>
  </cols>
  <sheetData>
    <row r="2" spans="2:9" ht="24">
      <c r="B2" s="155" t="s">
        <v>193</v>
      </c>
    </row>
    <row r="3" spans="2:9" ht="19">
      <c r="B3" s="108"/>
    </row>
    <row r="4" spans="2:9" ht="21">
      <c r="B4" s="148" t="s">
        <v>194</v>
      </c>
    </row>
    <row r="5" spans="2:9">
      <c r="B5"/>
    </row>
    <row r="6" spans="2:9" ht="19">
      <c r="B6" s="119"/>
      <c r="C6" s="165"/>
      <c r="D6" s="156"/>
      <c r="E6" s="157"/>
      <c r="F6" s="157"/>
      <c r="G6" s="149"/>
      <c r="H6" s="149"/>
      <c r="I6" s="149"/>
    </row>
    <row r="7" spans="2:9" s="75" customFormat="1" ht="19">
      <c r="B7" s="150"/>
      <c r="C7" s="166" t="s">
        <v>192</v>
      </c>
      <c r="D7" s="158" t="s">
        <v>195</v>
      </c>
      <c r="E7" s="158" t="s">
        <v>196</v>
      </c>
      <c r="F7" s="158" t="s">
        <v>197</v>
      </c>
      <c r="G7" s="151" t="s">
        <v>279</v>
      </c>
      <c r="H7" s="151" t="s">
        <v>280</v>
      </c>
      <c r="I7" s="151" t="s">
        <v>147</v>
      </c>
    </row>
    <row r="8" spans="2:9" ht="19">
      <c r="B8" s="152"/>
      <c r="C8" s="167"/>
      <c r="D8" s="159"/>
      <c r="E8" s="160"/>
      <c r="F8" s="160"/>
      <c r="G8" s="55"/>
      <c r="H8" s="55"/>
      <c r="I8" s="55"/>
    </row>
    <row r="9" spans="2:9" ht="19">
      <c r="B9" s="151" t="s">
        <v>2</v>
      </c>
      <c r="C9" s="168">
        <v>900</v>
      </c>
      <c r="D9" s="161">
        <v>900</v>
      </c>
      <c r="E9" s="161">
        <v>1100</v>
      </c>
      <c r="F9" s="161">
        <v>1400</v>
      </c>
      <c r="G9" s="153">
        <v>1900</v>
      </c>
      <c r="H9" s="153">
        <v>1800</v>
      </c>
      <c r="I9" s="153">
        <v>2000</v>
      </c>
    </row>
    <row r="10" spans="2:9" ht="19">
      <c r="B10" s="151" t="s">
        <v>3</v>
      </c>
      <c r="C10" s="169">
        <v>1000</v>
      </c>
      <c r="D10" s="162">
        <v>1000</v>
      </c>
      <c r="E10" s="162">
        <v>1100</v>
      </c>
      <c r="F10" s="162">
        <v>1500</v>
      </c>
      <c r="G10" s="154">
        <v>1700</v>
      </c>
      <c r="H10" s="154">
        <v>1200</v>
      </c>
      <c r="I10" s="154">
        <v>2300</v>
      </c>
    </row>
    <row r="11" spans="2:9" ht="15" customHeight="1">
      <c r="B11" s="151"/>
      <c r="C11" s="168"/>
      <c r="D11" s="161"/>
      <c r="E11" s="161"/>
      <c r="F11" s="161"/>
      <c r="G11" s="153"/>
      <c r="H11" s="153"/>
      <c r="I11" s="153"/>
    </row>
    <row r="12" spans="2:9" ht="19">
      <c r="B12" s="151" t="s">
        <v>6</v>
      </c>
      <c r="C12" s="168">
        <f t="shared" ref="C12" si="0">SUM(C9:C10)</f>
        <v>1900</v>
      </c>
      <c r="D12" s="161">
        <f t="shared" ref="D12:F12" si="1">SUM(D9:D10)</f>
        <v>1900</v>
      </c>
      <c r="E12" s="161">
        <f t="shared" si="1"/>
        <v>2200</v>
      </c>
      <c r="F12" s="161">
        <f t="shared" si="1"/>
        <v>2900</v>
      </c>
      <c r="G12" s="153">
        <f>SUM(G9:G10)</f>
        <v>3600</v>
      </c>
      <c r="H12" s="153">
        <f t="shared" ref="H12:I12" si="2">SUM(H9:H10)</f>
        <v>3000</v>
      </c>
      <c r="I12" s="153">
        <f t="shared" si="2"/>
        <v>4300</v>
      </c>
    </row>
    <row r="13" spans="2:9" ht="12" customHeight="1">
      <c r="B13" s="120"/>
      <c r="C13" s="170"/>
      <c r="D13" s="163"/>
      <c r="E13" s="164"/>
      <c r="F13" s="164"/>
      <c r="G13" s="57"/>
      <c r="H13" s="57"/>
      <c r="I13" s="57"/>
    </row>
    <row r="14" spans="2:9" ht="19">
      <c r="B14" s="121"/>
    </row>
    <row r="15" spans="2:9" ht="21">
      <c r="B15" s="343" t="s">
        <v>276</v>
      </c>
    </row>
    <row r="16" spans="2:9" ht="19">
      <c r="B16" s="108"/>
    </row>
    <row r="17" spans="2:9">
      <c r="B17" s="51"/>
      <c r="C17" s="171"/>
      <c r="D17" s="174"/>
      <c r="E17" s="174"/>
      <c r="F17" s="174"/>
      <c r="G17" s="50"/>
      <c r="H17" s="90"/>
      <c r="I17" s="90"/>
    </row>
    <row r="18" spans="2:9" ht="19">
      <c r="B18" s="56" t="s">
        <v>260</v>
      </c>
      <c r="C18" s="168">
        <v>2</v>
      </c>
      <c r="D18" s="161">
        <v>1</v>
      </c>
      <c r="E18" s="161">
        <v>1</v>
      </c>
      <c r="F18" s="161">
        <v>1</v>
      </c>
      <c r="G18" s="153">
        <v>1</v>
      </c>
      <c r="H18" s="153">
        <v>1</v>
      </c>
      <c r="I18" s="153">
        <v>2</v>
      </c>
    </row>
    <row r="19" spans="2:9" ht="19">
      <c r="B19" s="56" t="s">
        <v>259</v>
      </c>
      <c r="C19" s="172"/>
      <c r="D19" s="175">
        <v>1</v>
      </c>
      <c r="E19" s="161">
        <v>1</v>
      </c>
      <c r="F19" s="161">
        <v>1</v>
      </c>
      <c r="G19" s="153">
        <v>1</v>
      </c>
      <c r="H19" s="153">
        <v>1</v>
      </c>
      <c r="I19" s="153">
        <v>1</v>
      </c>
    </row>
    <row r="20" spans="2:9" ht="19">
      <c r="B20" s="56" t="s">
        <v>277</v>
      </c>
      <c r="C20" s="169"/>
      <c r="D20" s="162"/>
      <c r="E20" s="162"/>
      <c r="F20" s="162"/>
      <c r="G20" s="292">
        <v>3</v>
      </c>
      <c r="H20" s="292">
        <v>4</v>
      </c>
      <c r="I20" s="292">
        <v>5</v>
      </c>
    </row>
    <row r="21" spans="2:9" ht="19">
      <c r="B21" s="56"/>
      <c r="C21" s="168"/>
      <c r="D21" s="161"/>
      <c r="E21" s="161"/>
      <c r="F21" s="161"/>
      <c r="G21" s="153"/>
      <c r="H21" s="153"/>
      <c r="I21" s="153"/>
    </row>
    <row r="22" spans="2:9" ht="19">
      <c r="B22" s="56" t="s">
        <v>6</v>
      </c>
      <c r="C22" s="168">
        <f>SUM(C18:C20)</f>
        <v>2</v>
      </c>
      <c r="D22" s="161">
        <f t="shared" ref="D22:H22" si="3">SUM(D18:D20)</f>
        <v>2</v>
      </c>
      <c r="E22" s="161">
        <f t="shared" si="3"/>
        <v>2</v>
      </c>
      <c r="F22" s="161">
        <f t="shared" si="3"/>
        <v>2</v>
      </c>
      <c r="G22" s="153">
        <f t="shared" si="3"/>
        <v>5</v>
      </c>
      <c r="H22" s="153">
        <f t="shared" si="3"/>
        <v>6</v>
      </c>
      <c r="I22" s="153">
        <f>SUM(I18:I20)</f>
        <v>8</v>
      </c>
    </row>
    <row r="23" spans="2:9">
      <c r="B23" s="54"/>
      <c r="C23" s="173"/>
      <c r="D23" s="176"/>
      <c r="E23" s="176"/>
      <c r="F23" s="176"/>
      <c r="G23" s="54"/>
      <c r="H23" s="54"/>
      <c r="I23" s="54"/>
    </row>
    <row r="24" spans="2:9">
      <c r="B24" s="51"/>
      <c r="C24" s="171"/>
      <c r="D24" s="174"/>
      <c r="E24" s="174"/>
      <c r="F24" s="174"/>
      <c r="G24" s="50"/>
      <c r="H24" s="90"/>
      <c r="I24" s="90"/>
    </row>
    <row r="25" spans="2:9" ht="19">
      <c r="B25" s="56" t="s">
        <v>260</v>
      </c>
      <c r="C25" s="168">
        <f>-'March-2'!D12</f>
        <v>3000</v>
      </c>
      <c r="D25" s="161">
        <f>-'April-2'!D32</f>
        <v>1500</v>
      </c>
      <c r="E25" s="161">
        <f>-'May-2'!D32</f>
        <v>1500</v>
      </c>
      <c r="F25" s="161">
        <f>-'June-2'!D57</f>
        <v>1500</v>
      </c>
      <c r="G25" s="153">
        <f t="shared" ref="G25:I27" si="4">G18*ING</f>
        <v>1500</v>
      </c>
      <c r="H25" s="153">
        <f t="shared" si="4"/>
        <v>1500</v>
      </c>
      <c r="I25" s="153">
        <f t="shared" si="4"/>
        <v>3000</v>
      </c>
    </row>
    <row r="26" spans="2:9" ht="19">
      <c r="B26" s="56" t="s">
        <v>259</v>
      </c>
      <c r="C26" s="172"/>
      <c r="D26" s="175">
        <f>'April-2'!K10</f>
        <v>1500</v>
      </c>
      <c r="E26" s="161">
        <f>'May-2'!K12</f>
        <v>1500</v>
      </c>
      <c r="F26" s="161">
        <f>'June-2'!K12</f>
        <v>1500</v>
      </c>
      <c r="G26" s="153">
        <f t="shared" si="4"/>
        <v>1500</v>
      </c>
      <c r="H26" s="153">
        <f t="shared" si="4"/>
        <v>1500</v>
      </c>
      <c r="I26" s="153">
        <f t="shared" si="4"/>
        <v>1500</v>
      </c>
    </row>
    <row r="27" spans="2:9" ht="19">
      <c r="B27" s="56" t="s">
        <v>277</v>
      </c>
      <c r="C27" s="169"/>
      <c r="D27" s="162"/>
      <c r="E27" s="162"/>
      <c r="F27" s="162"/>
      <c r="G27" s="292">
        <f t="shared" si="4"/>
        <v>4500</v>
      </c>
      <c r="H27" s="292">
        <f t="shared" si="4"/>
        <v>6000</v>
      </c>
      <c r="I27" s="292">
        <f t="shared" si="4"/>
        <v>7500</v>
      </c>
    </row>
    <row r="28" spans="2:9" ht="19">
      <c r="B28" s="56"/>
      <c r="C28" s="168"/>
      <c r="D28" s="161"/>
      <c r="E28" s="161"/>
      <c r="F28" s="161"/>
      <c r="G28" s="153"/>
      <c r="H28" s="153"/>
      <c r="I28" s="153"/>
    </row>
    <row r="29" spans="2:9" ht="19">
      <c r="B29" s="56" t="s">
        <v>6</v>
      </c>
      <c r="C29" s="168">
        <f>SUM(C25:C27)</f>
        <v>3000</v>
      </c>
      <c r="D29" s="161">
        <f t="shared" ref="D29:H29" si="5">SUM(D25:D27)</f>
        <v>3000</v>
      </c>
      <c r="E29" s="161">
        <f t="shared" si="5"/>
        <v>3000</v>
      </c>
      <c r="F29" s="161">
        <f t="shared" si="5"/>
        <v>3000</v>
      </c>
      <c r="G29" s="153">
        <f t="shared" si="5"/>
        <v>7500</v>
      </c>
      <c r="H29" s="153">
        <f t="shared" si="5"/>
        <v>9000</v>
      </c>
      <c r="I29" s="153">
        <f>SUM(I25:I27)</f>
        <v>12000</v>
      </c>
    </row>
    <row r="30" spans="2:9">
      <c r="B30" s="54"/>
      <c r="C30" s="173"/>
      <c r="D30" s="176"/>
      <c r="E30" s="176"/>
      <c r="F30" s="176"/>
      <c r="G30" s="54"/>
      <c r="H30" s="54"/>
      <c r="I30" s="54"/>
    </row>
    <row r="31" spans="2:9">
      <c r="B31" s="284"/>
      <c r="C31" s="285"/>
      <c r="D31" s="285"/>
      <c r="E31" s="285"/>
      <c r="F31" s="60"/>
    </row>
    <row r="32" spans="2:9" ht="21">
      <c r="B32" s="286" t="s">
        <v>278</v>
      </c>
      <c r="C32" s="287"/>
      <c r="D32" s="287"/>
      <c r="E32" s="290">
        <v>36</v>
      </c>
      <c r="F32" s="291" t="s">
        <v>227</v>
      </c>
      <c r="H32"/>
      <c r="I32"/>
    </row>
    <row r="33" spans="2:10">
      <c r="B33" s="288"/>
      <c r="C33" s="289"/>
      <c r="D33" s="289"/>
      <c r="E33" s="289"/>
      <c r="F33" s="63"/>
      <c r="H33"/>
      <c r="I33"/>
    </row>
    <row r="34" spans="2:10">
      <c r="B34"/>
      <c r="H34"/>
      <c r="I34"/>
      <c r="J34"/>
    </row>
    <row r="35" spans="2:10" s="109" customFormat="1">
      <c r="B35"/>
      <c r="C35"/>
      <c r="D35"/>
      <c r="E35"/>
      <c r="F35"/>
      <c r="G35"/>
      <c r="H35"/>
      <c r="I35"/>
      <c r="J35"/>
    </row>
    <row r="36" spans="2:10">
      <c r="B36"/>
      <c r="H36"/>
      <c r="I36"/>
      <c r="J36"/>
    </row>
    <row r="37" spans="2:10">
      <c r="B37"/>
      <c r="H37"/>
      <c r="I37"/>
      <c r="J37"/>
    </row>
    <row r="38" spans="2:10">
      <c r="B38"/>
      <c r="H38"/>
      <c r="I38"/>
      <c r="J38"/>
    </row>
    <row r="39" spans="2:10">
      <c r="B39"/>
      <c r="H39"/>
      <c r="I39"/>
      <c r="J39"/>
    </row>
    <row r="40" spans="2:10">
      <c r="B40"/>
      <c r="H40"/>
      <c r="I40"/>
      <c r="J40"/>
    </row>
    <row r="41" spans="2:10">
      <c r="B41"/>
      <c r="H41"/>
      <c r="I41"/>
      <c r="J41"/>
    </row>
    <row r="42" spans="2:10">
      <c r="B42"/>
      <c r="H42"/>
      <c r="I42"/>
      <c r="J42"/>
    </row>
    <row r="43" spans="2:10">
      <c r="B43"/>
      <c r="H43"/>
      <c r="I43"/>
      <c r="J43"/>
    </row>
    <row r="44" spans="2:10">
      <c r="B44"/>
      <c r="H44"/>
      <c r="I44"/>
      <c r="J44"/>
    </row>
    <row r="45" spans="2:10">
      <c r="B45"/>
      <c r="H45"/>
      <c r="I45"/>
      <c r="J45"/>
    </row>
    <row r="46" spans="2:10">
      <c r="B46"/>
      <c r="H46"/>
      <c r="I46"/>
    </row>
    <row r="47" spans="2:10">
      <c r="B47"/>
      <c r="H47"/>
      <c r="I47"/>
    </row>
    <row r="48" spans="2:10">
      <c r="B48"/>
      <c r="H48"/>
      <c r="I48"/>
    </row>
    <row r="49" spans="2:9">
      <c r="B49"/>
      <c r="H49"/>
      <c r="I49"/>
    </row>
    <row r="50" spans="2:9">
      <c r="B50"/>
      <c r="H50"/>
      <c r="I50"/>
    </row>
    <row r="51" spans="2:9">
      <c r="B51"/>
      <c r="H51"/>
      <c r="I51"/>
    </row>
    <row r="52" spans="2:9">
      <c r="B52"/>
      <c r="H52"/>
      <c r="I52"/>
    </row>
    <row r="53" spans="2:9">
      <c r="B53"/>
      <c r="H53"/>
      <c r="I53"/>
    </row>
    <row r="54" spans="2:9">
      <c r="B54"/>
      <c r="H54"/>
      <c r="I54"/>
    </row>
    <row r="55" spans="2:9">
      <c r="B55"/>
      <c r="H55"/>
      <c r="I55"/>
    </row>
    <row r="56" spans="2:9">
      <c r="B56"/>
      <c r="H56"/>
      <c r="I56"/>
    </row>
    <row r="57" spans="2:9">
      <c r="B57"/>
      <c r="H57"/>
      <c r="I57"/>
    </row>
    <row r="58" spans="2:9">
      <c r="B58"/>
      <c r="H58"/>
      <c r="I58"/>
    </row>
    <row r="59" spans="2:9">
      <c r="B59"/>
      <c r="H59"/>
      <c r="I59"/>
    </row>
    <row r="60" spans="2:9">
      <c r="B60"/>
      <c r="H60"/>
      <c r="I60"/>
    </row>
    <row r="61" spans="2:9">
      <c r="B61"/>
      <c r="H61"/>
      <c r="I61"/>
    </row>
    <row r="62" spans="2:9">
      <c r="B62"/>
      <c r="H62"/>
      <c r="I62"/>
    </row>
    <row r="63" spans="2:9">
      <c r="B63"/>
      <c r="H63"/>
      <c r="I63"/>
    </row>
    <row r="64" spans="2:9">
      <c r="B64"/>
      <c r="H64"/>
      <c r="I64"/>
    </row>
    <row r="65" spans="2:10" ht="44" customHeight="1">
      <c r="B65"/>
      <c r="H65"/>
      <c r="I65"/>
    </row>
    <row r="66" spans="2:10" ht="12" customHeight="1">
      <c r="B66"/>
      <c r="H66"/>
      <c r="I66"/>
    </row>
    <row r="67" spans="2:10">
      <c r="B67"/>
      <c r="H67"/>
      <c r="I67"/>
    </row>
    <row r="68" spans="2:10">
      <c r="B68"/>
      <c r="H68"/>
      <c r="I68"/>
    </row>
    <row r="69" spans="2:10">
      <c r="B69"/>
      <c r="H69"/>
      <c r="I69"/>
    </row>
    <row r="70" spans="2:10">
      <c r="B70"/>
      <c r="H70"/>
      <c r="I70"/>
    </row>
    <row r="71" spans="2:10">
      <c r="B71"/>
      <c r="H71"/>
      <c r="I71"/>
    </row>
    <row r="72" spans="2:10">
      <c r="B72"/>
      <c r="H72"/>
      <c r="I72"/>
    </row>
    <row r="73" spans="2:10">
      <c r="B73"/>
      <c r="H73"/>
      <c r="I73"/>
    </row>
    <row r="74" spans="2:10">
      <c r="B74"/>
      <c r="H74"/>
      <c r="I74"/>
    </row>
    <row r="75" spans="2:10">
      <c r="B75"/>
      <c r="H75"/>
      <c r="I75"/>
    </row>
    <row r="76" spans="2:10">
      <c r="B76"/>
      <c r="H76"/>
      <c r="I76"/>
      <c r="J76"/>
    </row>
    <row r="77" spans="2:10">
      <c r="B77"/>
      <c r="H77"/>
      <c r="I77"/>
      <c r="J77"/>
    </row>
    <row r="78" spans="2:10">
      <c r="B78"/>
      <c r="H78"/>
      <c r="I78"/>
      <c r="J78"/>
    </row>
    <row r="79" spans="2:10">
      <c r="B79"/>
      <c r="H79"/>
      <c r="I79"/>
      <c r="J79"/>
    </row>
    <row r="80" spans="2:10">
      <c r="B80"/>
      <c r="H80"/>
      <c r="I80"/>
      <c r="J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416C-3E5D-DE4C-B988-26F98799D486}">
  <dimension ref="B2:M141"/>
  <sheetViews>
    <sheetView showGridLines="0" topLeftCell="B1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42.1640625" style="1" customWidth="1"/>
    <col min="3" max="3" width="19" style="1" customWidth="1"/>
    <col min="4" max="4" width="21.1640625" style="1" customWidth="1"/>
    <col min="5" max="5" width="8.5" style="1" customWidth="1"/>
    <col min="6" max="6" width="10.1640625" style="2" customWidth="1"/>
    <col min="7" max="7" width="10.33203125" style="1" customWidth="1"/>
    <col min="8" max="9" width="9.5" style="1" customWidth="1"/>
    <col min="10" max="10" width="11.664062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7" t="s">
        <v>233</v>
      </c>
    </row>
    <row r="3" spans="2:12" ht="19">
      <c r="B3" s="304" t="s">
        <v>115</v>
      </c>
      <c r="C3" s="83" t="s">
        <v>116</v>
      </c>
      <c r="D3" s="83" t="s">
        <v>117</v>
      </c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7" t="s">
        <v>318</v>
      </c>
      <c r="I5" s="10"/>
      <c r="J5" s="9"/>
      <c r="K5" s="1">
        <f>'Development plan Q3'!H12</f>
        <v>3000</v>
      </c>
      <c r="L5" s="61"/>
    </row>
    <row r="6" spans="2:12">
      <c r="B6" s="71" t="s">
        <v>259</v>
      </c>
      <c r="C6" s="83">
        <v>1</v>
      </c>
      <c r="D6" s="83">
        <f>MAN</f>
        <v>2000</v>
      </c>
      <c r="F6" s="5"/>
      <c r="I6" s="10"/>
      <c r="J6" s="9"/>
      <c r="L6" s="10"/>
    </row>
    <row r="7" spans="2:12">
      <c r="B7" s="71"/>
      <c r="C7" s="83"/>
      <c r="D7" s="83"/>
      <c r="F7" s="177" t="s">
        <v>269</v>
      </c>
      <c r="I7" s="321">
        <v>0.5</v>
      </c>
      <c r="J7" s="9"/>
      <c r="K7" s="1">
        <f>I7*K5</f>
        <v>1500</v>
      </c>
      <c r="L7" s="61"/>
    </row>
    <row r="8" spans="2:12">
      <c r="B8" s="71" t="s">
        <v>35</v>
      </c>
      <c r="C8" s="83">
        <v>1</v>
      </c>
      <c r="D8" s="83">
        <f>ADOP</f>
        <v>1000</v>
      </c>
      <c r="F8" s="5"/>
      <c r="I8" s="10"/>
      <c r="J8" s="9"/>
      <c r="L8" s="10"/>
    </row>
    <row r="9" spans="2:12">
      <c r="B9" s="71"/>
      <c r="C9" s="83"/>
      <c r="D9" s="83"/>
      <c r="F9" s="177" t="s">
        <v>270</v>
      </c>
      <c r="I9" s="10"/>
      <c r="J9" s="9"/>
      <c r="K9" s="1">
        <f>K7+L30-H30</f>
        <v>3945</v>
      </c>
      <c r="L9" s="61"/>
    </row>
    <row r="10" spans="2:12">
      <c r="B10" s="71" t="s">
        <v>65</v>
      </c>
      <c r="C10" s="83">
        <v>3</v>
      </c>
      <c r="D10" s="83">
        <f>MKT</f>
        <v>1300</v>
      </c>
      <c r="F10" s="177"/>
      <c r="I10" s="10"/>
      <c r="J10" s="9"/>
      <c r="L10" s="61"/>
    </row>
    <row r="11" spans="2:12">
      <c r="B11" s="71"/>
      <c r="C11" s="83"/>
      <c r="D11" s="83"/>
      <c r="F11" s="177" t="s">
        <v>266</v>
      </c>
      <c r="I11" s="10"/>
      <c r="J11" s="9"/>
      <c r="K11" s="317">
        <f>K9*CMP</f>
        <v>63120</v>
      </c>
      <c r="L11" s="61"/>
    </row>
    <row r="12" spans="2:12">
      <c r="B12" s="71" t="s">
        <v>260</v>
      </c>
      <c r="C12" s="83">
        <f>'Development plan Q3'!G18</f>
        <v>1</v>
      </c>
      <c r="D12" s="83">
        <f>ING</f>
        <v>1500</v>
      </c>
      <c r="F12" s="177" t="s">
        <v>235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7" t="s">
        <v>236</v>
      </c>
      <c r="I13" s="10"/>
      <c r="J13" s="9"/>
      <c r="K13" s="1">
        <f>C18*ADOP</f>
        <v>6000</v>
      </c>
      <c r="L13" s="61"/>
    </row>
    <row r="14" spans="2:12">
      <c r="B14" s="71" t="s">
        <v>36</v>
      </c>
      <c r="C14" s="83">
        <f>'Development plan Q3'!G20</f>
        <v>3</v>
      </c>
      <c r="D14" s="83">
        <f>ING</f>
        <v>1500</v>
      </c>
      <c r="F14" s="177" t="s">
        <v>212</v>
      </c>
      <c r="I14" s="10"/>
      <c r="J14" s="9"/>
      <c r="K14" s="11">
        <f>'Investment project Q2'!C18/'Investment project Q2'!G18</f>
        <v>1000</v>
      </c>
      <c r="L14" s="61"/>
    </row>
    <row r="15" spans="2:12">
      <c r="B15" s="71"/>
      <c r="C15" s="83"/>
      <c r="D15" s="83"/>
      <c r="F15" s="177"/>
      <c r="I15" s="10"/>
      <c r="J15" s="9"/>
      <c r="L15" s="10"/>
    </row>
    <row r="16" spans="2:12">
      <c r="B16" s="71" t="s">
        <v>25</v>
      </c>
      <c r="C16" s="83"/>
      <c r="D16" s="83"/>
      <c r="F16" s="9" t="s">
        <v>124</v>
      </c>
      <c r="I16" s="10"/>
      <c r="J16" s="9"/>
      <c r="K16" s="329">
        <f>SUM(K11:K14)</f>
        <v>71620</v>
      </c>
      <c r="L16" s="10"/>
    </row>
    <row r="17" spans="2:13">
      <c r="B17" s="71" t="s">
        <v>261</v>
      </c>
      <c r="C17" s="83">
        <f>'Development plan Q3'!G19</f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262</v>
      </c>
      <c r="C18" s="83">
        <v>6</v>
      </c>
      <c r="D18" s="83">
        <f>ADOP</f>
        <v>1000</v>
      </c>
      <c r="F18" s="192" t="s">
        <v>237</v>
      </c>
      <c r="I18" s="10"/>
      <c r="J18" s="9"/>
      <c r="K18" s="318">
        <f>K16/K9</f>
        <v>18.154626108998734</v>
      </c>
      <c r="L18" s="19" t="s">
        <v>14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64</v>
      </c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C24" s="1">
        <f>F24*H24+J24*L24</f>
        <v>99500</v>
      </c>
      <c r="F24" s="9">
        <f>+'Development plan Q3'!G9</f>
        <v>1900</v>
      </c>
      <c r="G24" s="2" t="s">
        <v>70</v>
      </c>
      <c r="H24" s="1">
        <f>PVB2C</f>
        <v>30</v>
      </c>
      <c r="I24" s="349" t="s">
        <v>71</v>
      </c>
      <c r="J24" s="9">
        <f>+'Development plan Q3'!G10</f>
        <v>1700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I25" s="349"/>
      <c r="J25" s="9"/>
      <c r="K25" s="2"/>
      <c r="M25" s="349"/>
    </row>
    <row r="26" spans="2:13">
      <c r="B26" s="1" t="s">
        <v>66</v>
      </c>
      <c r="C26" s="33">
        <f>-L35</f>
        <v>-65950.478418919476</v>
      </c>
      <c r="F26" s="7">
        <f>F24</f>
        <v>1900</v>
      </c>
      <c r="G26" s="25" t="s">
        <v>70</v>
      </c>
      <c r="H26" s="337">
        <f>L44</f>
        <v>18.319577338588747</v>
      </c>
      <c r="I26" s="350" t="s">
        <v>71</v>
      </c>
      <c r="J26" s="7">
        <f>J24</f>
        <v>1700</v>
      </c>
      <c r="K26" s="25" t="s">
        <v>70</v>
      </c>
      <c r="L26" s="337">
        <f>L44</f>
        <v>18.319577338588747</v>
      </c>
      <c r="M26" s="350" t="s">
        <v>71</v>
      </c>
    </row>
    <row r="28" spans="2:13">
      <c r="B28" s="1" t="s">
        <v>67</v>
      </c>
      <c r="C28" s="1">
        <f>C24+C26</f>
        <v>33549.521581080524</v>
      </c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C30" s="1">
        <f>-(C6*MAN+C8*ADOP)</f>
        <v>-3000</v>
      </c>
      <c r="F30" s="5" t="s">
        <v>94</v>
      </c>
      <c r="H30" s="1">
        <f>'June-2'!L31</f>
        <v>1155</v>
      </c>
      <c r="J30" s="1" t="s">
        <v>65</v>
      </c>
      <c r="L30" s="10">
        <f>F24+J24</f>
        <v>3600</v>
      </c>
    </row>
    <row r="31" spans="2:13">
      <c r="B31" s="1" t="s">
        <v>100</v>
      </c>
      <c r="C31" s="1">
        <f>-C10*MKT</f>
        <v>-3900</v>
      </c>
      <c r="F31" s="13" t="s">
        <v>25</v>
      </c>
      <c r="G31" s="11"/>
      <c r="H31" s="11">
        <f>L30+L31-H30</f>
        <v>3945</v>
      </c>
      <c r="I31" s="11"/>
      <c r="J31" s="11" t="s">
        <v>90</v>
      </c>
      <c r="K31" s="11"/>
      <c r="L31" s="8">
        <f>K7</f>
        <v>1500</v>
      </c>
    </row>
    <row r="32" spans="2:13">
      <c r="B32" s="31" t="s">
        <v>310</v>
      </c>
      <c r="C32" s="11">
        <f>-C12*ING</f>
        <v>-1500</v>
      </c>
      <c r="F32" s="14" t="s">
        <v>6</v>
      </c>
      <c r="G32" s="15"/>
      <c r="H32" s="15">
        <f>H30+H31</f>
        <v>5100</v>
      </c>
      <c r="I32" s="15"/>
      <c r="J32" s="16" t="s">
        <v>6</v>
      </c>
      <c r="K32" s="15"/>
      <c r="L32" s="17">
        <f>L30+L31</f>
        <v>5100</v>
      </c>
    </row>
    <row r="33" spans="2:12">
      <c r="B33" s="31"/>
      <c r="J33" s="2"/>
    </row>
    <row r="34" spans="2:12">
      <c r="B34" s="1" t="s">
        <v>250</v>
      </c>
      <c r="C34" s="1">
        <f>C28+C31+C30+C32</f>
        <v>25149.521581080524</v>
      </c>
      <c r="F34" s="14"/>
      <c r="G34" s="15"/>
      <c r="H34" s="15"/>
      <c r="I34" s="24" t="s">
        <v>113</v>
      </c>
      <c r="J34" s="15"/>
      <c r="K34" s="15"/>
      <c r="L34" s="17"/>
    </row>
    <row r="35" spans="2:12">
      <c r="F35" s="5" t="s">
        <v>94</v>
      </c>
      <c r="H35" s="1">
        <f>'June-2'!L36</f>
        <v>21562.417582417584</v>
      </c>
      <c r="I35" s="334">
        <f>'June-2'!K18</f>
        <v>18.668759811616955</v>
      </c>
      <c r="J35" s="1" t="s">
        <v>120</v>
      </c>
      <c r="K35" s="336">
        <f>L44</f>
        <v>18.319577338588747</v>
      </c>
      <c r="L35" s="32">
        <f>H35+H36-L36</f>
        <v>65950.478418919476</v>
      </c>
    </row>
    <row r="36" spans="2:12">
      <c r="B36" s="1" t="s">
        <v>238</v>
      </c>
      <c r="C36" s="1">
        <f>-'Investment project Q2'!C82</f>
        <v>-240</v>
      </c>
      <c r="F36" s="129" t="s">
        <v>119</v>
      </c>
      <c r="G36" s="11"/>
      <c r="H36" s="328">
        <f>K16</f>
        <v>71620</v>
      </c>
      <c r="I36" s="335">
        <f>K18</f>
        <v>18.154626108998734</v>
      </c>
      <c r="J36" s="11" t="s">
        <v>90</v>
      </c>
      <c r="K36" s="335">
        <f>K18</f>
        <v>18.154626108998734</v>
      </c>
      <c r="L36" s="8">
        <f>L31*K18</f>
        <v>27231.9391634981</v>
      </c>
    </row>
    <row r="37" spans="2:12">
      <c r="F37" s="14" t="s">
        <v>6</v>
      </c>
      <c r="G37" s="15"/>
      <c r="H37" s="15">
        <f>H35+H36</f>
        <v>93182.417582417576</v>
      </c>
      <c r="I37" s="15"/>
      <c r="J37" s="16" t="s">
        <v>6</v>
      </c>
      <c r="K37" s="15"/>
      <c r="L37" s="17">
        <f>L35+L36</f>
        <v>93182.417582417576</v>
      </c>
    </row>
    <row r="38" spans="2:12">
      <c r="B38" s="1" t="s">
        <v>239</v>
      </c>
      <c r="C38" s="1">
        <f>C34+C36</f>
        <v>24909.521581080524</v>
      </c>
    </row>
    <row r="39" spans="2:12">
      <c r="F39" s="29"/>
      <c r="G39" s="15"/>
      <c r="H39" s="15"/>
      <c r="I39" s="24" t="s">
        <v>114</v>
      </c>
      <c r="J39" s="15"/>
      <c r="K39" s="15"/>
      <c r="L39" s="17"/>
    </row>
    <row r="40" spans="2:12">
      <c r="B40" s="1" t="s">
        <v>240</v>
      </c>
      <c r="C40" s="11">
        <f>-C38*C82</f>
        <v>-4981.9043162161051</v>
      </c>
      <c r="F40" s="9"/>
      <c r="L40" s="10"/>
    </row>
    <row r="41" spans="2:12">
      <c r="F41" s="177" t="s">
        <v>121</v>
      </c>
      <c r="H41" s="2">
        <f>H30</f>
        <v>1155</v>
      </c>
      <c r="I41" s="1" t="s">
        <v>46</v>
      </c>
      <c r="J41" s="338">
        <f>I35</f>
        <v>18.668759811616955</v>
      </c>
      <c r="K41" s="2" t="s">
        <v>23</v>
      </c>
      <c r="L41" s="6">
        <f>H41*J41</f>
        <v>21562.417582417584</v>
      </c>
    </row>
    <row r="42" spans="2:12" ht="17" thickBot="1">
      <c r="B42" s="1" t="s">
        <v>241</v>
      </c>
      <c r="C42" s="1">
        <f>C38+C40</f>
        <v>19927.617264864421</v>
      </c>
      <c r="F42" s="177" t="s">
        <v>122</v>
      </c>
      <c r="H42" s="342">
        <f>L30-H30</f>
        <v>2445</v>
      </c>
      <c r="I42" s="1" t="s">
        <v>46</v>
      </c>
      <c r="J42" s="341">
        <f>I36</f>
        <v>18.154626108998734</v>
      </c>
      <c r="K42" s="2" t="s">
        <v>23</v>
      </c>
      <c r="L42" s="6">
        <f>H42*J42</f>
        <v>44388.060836501907</v>
      </c>
    </row>
    <row r="43" spans="2:12">
      <c r="F43" s="5" t="s">
        <v>123</v>
      </c>
      <c r="H43" s="2">
        <f>H41+H42</f>
        <v>3600</v>
      </c>
      <c r="J43" s="36" t="s">
        <v>124</v>
      </c>
      <c r="K43" s="2" t="s">
        <v>23</v>
      </c>
      <c r="L43" s="340">
        <f>L41+L42</f>
        <v>65950.478418919491</v>
      </c>
    </row>
    <row r="44" spans="2:12">
      <c r="F44" s="13"/>
      <c r="G44" s="11"/>
      <c r="H44" s="11"/>
      <c r="I44" s="11"/>
      <c r="J44" s="112" t="s">
        <v>117</v>
      </c>
      <c r="K44" s="25" t="s">
        <v>23</v>
      </c>
      <c r="L44" s="339">
        <f>L43/L30</f>
        <v>18.319577338588747</v>
      </c>
    </row>
    <row r="45" spans="2:12" ht="19">
      <c r="B45" s="12" t="s">
        <v>72</v>
      </c>
    </row>
    <row r="46" spans="2:12">
      <c r="F46" s="14"/>
      <c r="G46" s="15"/>
      <c r="H46" s="15"/>
      <c r="I46" s="24" t="s">
        <v>89</v>
      </c>
      <c r="J46" s="15"/>
      <c r="K46" s="15"/>
      <c r="L46" s="17"/>
    </row>
    <row r="47" spans="2:12">
      <c r="B47" s="1" t="s">
        <v>73</v>
      </c>
      <c r="C47" s="20">
        <f>L47</f>
        <v>94500</v>
      </c>
      <c r="F47" s="5" t="s">
        <v>94</v>
      </c>
      <c r="H47" s="1">
        <f>'June-2'!L48</f>
        <v>37500</v>
      </c>
      <c r="J47" s="1" t="s">
        <v>95</v>
      </c>
      <c r="L47" s="21">
        <f>H47+H48-L48</f>
        <v>94500</v>
      </c>
    </row>
    <row r="48" spans="2:12">
      <c r="B48" s="1" t="s">
        <v>242</v>
      </c>
      <c r="C48" s="1">
        <v>0</v>
      </c>
      <c r="F48" s="13" t="s">
        <v>65</v>
      </c>
      <c r="G48" s="11"/>
      <c r="H48" s="11">
        <f>C24</f>
        <v>99500</v>
      </c>
      <c r="I48" s="11"/>
      <c r="J48" s="11" t="s">
        <v>90</v>
      </c>
      <c r="K48" s="11"/>
      <c r="L48" s="8">
        <f>J24*L24</f>
        <v>42500</v>
      </c>
    </row>
    <row r="49" spans="2:12">
      <c r="F49" s="14" t="s">
        <v>6</v>
      </c>
      <c r="G49" s="15"/>
      <c r="H49" s="15">
        <f>H47+H48</f>
        <v>137000</v>
      </c>
      <c r="I49" s="15"/>
      <c r="J49" s="16" t="s">
        <v>6</v>
      </c>
      <c r="K49" s="15"/>
      <c r="L49" s="17">
        <f>L47+L48</f>
        <v>137000</v>
      </c>
    </row>
    <row r="50" spans="2:12">
      <c r="B50" s="26" t="s">
        <v>281</v>
      </c>
      <c r="C50" s="26">
        <f>C47+C48</f>
        <v>94500</v>
      </c>
    </row>
    <row r="52" spans="2:12">
      <c r="F52" s="14"/>
      <c r="G52" s="15"/>
      <c r="H52" s="15"/>
      <c r="I52" s="24" t="s">
        <v>86</v>
      </c>
      <c r="J52" s="15"/>
      <c r="K52" s="15"/>
      <c r="L52" s="17"/>
    </row>
    <row r="53" spans="2:12">
      <c r="B53" s="1" t="s">
        <v>98</v>
      </c>
      <c r="C53" s="22">
        <f>-L53</f>
        <v>-57040</v>
      </c>
      <c r="F53" s="5" t="s">
        <v>94</v>
      </c>
      <c r="H53" s="1">
        <f>'June-2'!L54</f>
        <v>25480</v>
      </c>
      <c r="J53" s="1" t="s">
        <v>96</v>
      </c>
      <c r="L53" s="23">
        <f>H53+H54-L54</f>
        <v>57040</v>
      </c>
    </row>
    <row r="54" spans="2:12">
      <c r="B54" s="1" t="s">
        <v>11</v>
      </c>
      <c r="C54" s="1">
        <f>C30</f>
        <v>-3000</v>
      </c>
      <c r="F54" s="13" t="s">
        <v>97</v>
      </c>
      <c r="G54" s="11"/>
      <c r="H54" s="34">
        <f>K11</f>
        <v>63120</v>
      </c>
      <c r="I54" s="11"/>
      <c r="J54" s="11" t="s">
        <v>90</v>
      </c>
      <c r="K54" s="11"/>
      <c r="L54" s="8">
        <f>J57*H54</f>
        <v>31560</v>
      </c>
    </row>
    <row r="55" spans="2:12">
      <c r="B55" s="1" t="s">
        <v>125</v>
      </c>
      <c r="C55" s="1">
        <f>C31</f>
        <v>-3900</v>
      </c>
      <c r="F55" s="14" t="s">
        <v>6</v>
      </c>
      <c r="G55" s="15"/>
      <c r="H55" s="15">
        <f>H53+H54</f>
        <v>88600</v>
      </c>
      <c r="I55" s="15"/>
      <c r="J55" s="16" t="s">
        <v>6</v>
      </c>
      <c r="K55" s="15"/>
      <c r="L55" s="17">
        <f>L53+L54</f>
        <v>88600</v>
      </c>
    </row>
    <row r="56" spans="2:12">
      <c r="B56" s="1" t="s">
        <v>13</v>
      </c>
      <c r="C56" s="1">
        <f>C32</f>
        <v>-1500</v>
      </c>
    </row>
    <row r="57" spans="2:12">
      <c r="B57" s="1" t="s">
        <v>243</v>
      </c>
      <c r="C57" s="1">
        <f>-K12</f>
        <v>-1500</v>
      </c>
      <c r="I57" s="29" t="s">
        <v>92</v>
      </c>
      <c r="J57" s="40">
        <v>0.5</v>
      </c>
      <c r="K57" s="351" t="s">
        <v>93</v>
      </c>
    </row>
    <row r="58" spans="2:12">
      <c r="B58" s="1" t="s">
        <v>252</v>
      </c>
      <c r="C58" s="1">
        <f>-K13</f>
        <v>-6000</v>
      </c>
    </row>
    <row r="59" spans="2:12">
      <c r="B59" s="1" t="s">
        <v>158</v>
      </c>
      <c r="C59" s="1">
        <v>0</v>
      </c>
    </row>
    <row r="60" spans="2:12">
      <c r="B60" s="1" t="s">
        <v>159</v>
      </c>
      <c r="C60" s="1">
        <v>0</v>
      </c>
      <c r="F60" s="1"/>
    </row>
    <row r="61" spans="2:12">
      <c r="B61" s="1" t="s">
        <v>244</v>
      </c>
      <c r="C61" s="1">
        <v>0</v>
      </c>
    </row>
    <row r="62" spans="2:12">
      <c r="B62" s="1" t="s">
        <v>282</v>
      </c>
      <c r="C62" s="1">
        <f>-C14*ING</f>
        <v>-4500</v>
      </c>
    </row>
    <row r="63" spans="2:12">
      <c r="B63" s="1" t="s">
        <v>245</v>
      </c>
      <c r="C63" s="1">
        <f>C36</f>
        <v>-240</v>
      </c>
    </row>
    <row r="65" spans="2:4">
      <c r="B65" s="26" t="s">
        <v>76</v>
      </c>
      <c r="C65" s="26">
        <f>SUM(C53:C63)</f>
        <v>-77680</v>
      </c>
    </row>
    <row r="67" spans="2:4" ht="19">
      <c r="B67" s="304" t="s">
        <v>178</v>
      </c>
    </row>
    <row r="69" spans="2:4">
      <c r="B69" s="1" t="s">
        <v>281</v>
      </c>
      <c r="C69" s="1">
        <f>C50</f>
        <v>94500</v>
      </c>
    </row>
    <row r="71" spans="2:4">
      <c r="B71" s="1" t="s">
        <v>76</v>
      </c>
      <c r="C71" s="1">
        <f>C65</f>
        <v>-77680</v>
      </c>
    </row>
    <row r="73" spans="2:4">
      <c r="B73" s="26" t="s">
        <v>77</v>
      </c>
      <c r="C73" s="26">
        <f>C50+C65</f>
        <v>16820</v>
      </c>
    </row>
    <row r="75" spans="2:4">
      <c r="B75" s="1" t="s">
        <v>78</v>
      </c>
      <c r="C75" s="1">
        <f>'June-2'!C99</f>
        <v>10500</v>
      </c>
    </row>
    <row r="77" spans="2:4">
      <c r="B77" s="1" t="s">
        <v>79</v>
      </c>
      <c r="C77" s="27">
        <f>C73+C75</f>
        <v>27320</v>
      </c>
    </row>
    <row r="80" spans="2:4" ht="19">
      <c r="B80" s="12" t="s">
        <v>139</v>
      </c>
      <c r="C80" s="36"/>
      <c r="D80" s="12" t="s">
        <v>129</v>
      </c>
    </row>
    <row r="81" spans="2:12" ht="19">
      <c r="D81" s="12"/>
    </row>
    <row r="82" spans="2:12">
      <c r="B82" s="31" t="s">
        <v>165</v>
      </c>
      <c r="C82" s="128">
        <f>TIS</f>
        <v>0.2</v>
      </c>
      <c r="D82" s="1" t="s">
        <v>130</v>
      </c>
      <c r="F82" s="2">
        <f>C88</f>
        <v>19927.617264864421</v>
      </c>
    </row>
    <row r="83" spans="2:12">
      <c r="C83" s="2"/>
    </row>
    <row r="84" spans="2:12">
      <c r="B84" s="1" t="s">
        <v>166</v>
      </c>
      <c r="C84" s="2">
        <f>C38</f>
        <v>24909.521581080524</v>
      </c>
      <c r="D84" s="1" t="s">
        <v>167</v>
      </c>
      <c r="F84" s="128">
        <v>0</v>
      </c>
    </row>
    <row r="85" spans="2:12">
      <c r="C85" s="2"/>
    </row>
    <row r="86" spans="2:12">
      <c r="B86" s="1" t="s">
        <v>141</v>
      </c>
      <c r="C86" s="2">
        <f>-C84*C82</f>
        <v>-4981.9043162161051</v>
      </c>
      <c r="D86" s="1" t="s">
        <v>131</v>
      </c>
      <c r="F86" s="302">
        <f>C88*F84</f>
        <v>0</v>
      </c>
    </row>
    <row r="87" spans="2:12">
      <c r="C87" s="2"/>
    </row>
    <row r="88" spans="2:12">
      <c r="B88" s="1" t="s">
        <v>167</v>
      </c>
      <c r="C88" s="2">
        <f>C84+C86</f>
        <v>19927.617264864421</v>
      </c>
      <c r="D88" s="1" t="s">
        <v>185</v>
      </c>
      <c r="F88" s="303">
        <f>C88-F86</f>
        <v>19927.617264864421</v>
      </c>
    </row>
    <row r="89" spans="2:12">
      <c r="F89" s="1"/>
    </row>
    <row r="91" spans="2:12" s="2" customFormat="1">
      <c r="B91" s="1"/>
      <c r="C91" s="1"/>
      <c r="D91" s="1"/>
      <c r="E91" s="1"/>
      <c r="G91" s="1"/>
      <c r="H91" s="1"/>
      <c r="I91" s="1"/>
      <c r="J91" s="1"/>
      <c r="K91" s="1"/>
      <c r="L91" s="1"/>
    </row>
    <row r="92" spans="2:12" s="2" customFormat="1" ht="19">
      <c r="B92" s="12" t="s">
        <v>80</v>
      </c>
      <c r="C92" s="1"/>
      <c r="D92" s="12"/>
      <c r="E92" s="1"/>
      <c r="G92" s="1"/>
      <c r="H92" s="1"/>
      <c r="I92" s="1"/>
      <c r="J92" s="1"/>
      <c r="K92" s="1"/>
      <c r="L92" s="1"/>
    </row>
    <row r="93" spans="2:12" s="2" customFormat="1">
      <c r="B93" s="1"/>
      <c r="C93" s="1"/>
      <c r="D93" s="1"/>
      <c r="E93" s="1"/>
      <c r="G93" s="1"/>
      <c r="H93" s="1"/>
      <c r="I93" s="1"/>
      <c r="J93" s="1"/>
      <c r="K93" s="1"/>
      <c r="L93" s="1"/>
    </row>
    <row r="94" spans="2:12" s="2" customFormat="1" ht="11" customHeight="1">
      <c r="B94" s="3"/>
      <c r="C94" s="4"/>
      <c r="D94" s="3"/>
      <c r="E94" s="4"/>
      <c r="G94" s="1"/>
      <c r="H94" s="1"/>
      <c r="I94" s="1"/>
      <c r="J94" s="1"/>
      <c r="K94" s="1"/>
      <c r="L94" s="1"/>
    </row>
    <row r="95" spans="2:12" s="2" customFormat="1">
      <c r="B95" s="5" t="s">
        <v>60</v>
      </c>
      <c r="C95" s="6"/>
      <c r="D95" s="5" t="s">
        <v>84</v>
      </c>
      <c r="E95" s="6"/>
      <c r="G95" s="1"/>
      <c r="H95" s="1"/>
      <c r="I95" s="1"/>
      <c r="J95" s="1"/>
      <c r="K95" s="1"/>
      <c r="L95" s="1"/>
    </row>
    <row r="96" spans="2:12" s="2" customFormat="1" ht="10" customHeight="1">
      <c r="B96" s="7"/>
      <c r="C96" s="8"/>
      <c r="D96" s="7"/>
      <c r="E96" s="8"/>
      <c r="F96" s="30"/>
      <c r="G96" s="1"/>
      <c r="I96" s="31"/>
      <c r="J96" s="1"/>
      <c r="K96" s="1"/>
      <c r="L96" s="1"/>
    </row>
    <row r="97" spans="2:12" s="2" customFormat="1">
      <c r="B97" s="3"/>
      <c r="C97" s="4"/>
      <c r="D97" s="3"/>
      <c r="E97" s="4"/>
      <c r="F97" s="115"/>
      <c r="G97" s="116" t="s">
        <v>90</v>
      </c>
      <c r="H97" s="116"/>
      <c r="I97" s="117"/>
      <c r="J97" s="1"/>
      <c r="K97" s="1"/>
      <c r="L97" s="1"/>
    </row>
    <row r="98" spans="2:12" s="2" customFormat="1">
      <c r="B98" s="9"/>
      <c r="C98" s="10"/>
      <c r="D98" s="9" t="s">
        <v>62</v>
      </c>
      <c r="E98" s="10">
        <f>NA*PAR</f>
        <v>10000</v>
      </c>
      <c r="F98" s="5"/>
      <c r="G98" s="31" t="s">
        <v>284</v>
      </c>
      <c r="I98" s="6" t="s">
        <v>279</v>
      </c>
      <c r="J98" s="1"/>
      <c r="K98" s="1"/>
      <c r="L98" s="1"/>
    </row>
    <row r="99" spans="2:12" s="2" customFormat="1">
      <c r="B99" s="9" t="s">
        <v>248</v>
      </c>
      <c r="C99" s="122">
        <f>'Investment project Q2'!C18</f>
        <v>60000</v>
      </c>
      <c r="D99" s="9" t="s">
        <v>85</v>
      </c>
      <c r="E99" s="43">
        <f>G99+I99</f>
        <v>56137.55133079848</v>
      </c>
      <c r="F99" s="13" t="s">
        <v>23</v>
      </c>
      <c r="G99" s="11">
        <f>'June-2'!E91</f>
        <v>36209.93406593406</v>
      </c>
      <c r="H99" s="11"/>
      <c r="I99" s="118">
        <f>F88</f>
        <v>19927.617264864421</v>
      </c>
      <c r="J99" s="1"/>
      <c r="K99" s="1"/>
      <c r="L99" s="1"/>
    </row>
    <row r="100" spans="2:12" s="2" customFormat="1">
      <c r="B100" s="9" t="s">
        <v>271</v>
      </c>
      <c r="C100" s="123">
        <f>-K14+'June-2'!C92</f>
        <v>-4000</v>
      </c>
      <c r="D100" s="9"/>
      <c r="E100" s="10"/>
      <c r="G100" s="1"/>
      <c r="H100" s="1"/>
      <c r="I100" s="1"/>
      <c r="J100" s="1"/>
      <c r="K100" s="1"/>
      <c r="L100" s="1"/>
    </row>
    <row r="101" spans="2:12" s="2" customFormat="1">
      <c r="B101" s="9"/>
      <c r="C101" s="122"/>
      <c r="D101" s="9" t="s">
        <v>82</v>
      </c>
      <c r="E101" s="10">
        <f>E98+E99</f>
        <v>66137.55133079848</v>
      </c>
      <c r="G101" s="1"/>
      <c r="H101" s="1"/>
      <c r="I101" s="1"/>
      <c r="J101" s="1"/>
      <c r="K101" s="1"/>
      <c r="L101" s="1"/>
    </row>
    <row r="102" spans="2:12" s="2" customFormat="1">
      <c r="B102" s="9" t="s">
        <v>247</v>
      </c>
      <c r="C102" s="122">
        <f>C99+C100</f>
        <v>56000</v>
      </c>
      <c r="D102" s="9"/>
      <c r="E102" s="10"/>
      <c r="G102" s="1"/>
      <c r="H102" s="1"/>
      <c r="I102" s="1"/>
      <c r="J102" s="1"/>
      <c r="K102" s="1"/>
      <c r="L102" s="1"/>
    </row>
    <row r="103" spans="2:12" s="2" customFormat="1">
      <c r="B103" s="9"/>
      <c r="C103" s="122"/>
      <c r="D103" s="9"/>
      <c r="E103" s="10"/>
      <c r="G103" s="1"/>
      <c r="H103" s="1"/>
      <c r="I103" s="1"/>
      <c r="J103" s="1"/>
      <c r="K103" s="1"/>
      <c r="L103" s="1"/>
    </row>
    <row r="104" spans="2:12" s="2" customFormat="1">
      <c r="B104" s="177" t="s">
        <v>285</v>
      </c>
      <c r="C104" s="122">
        <f>-C62</f>
        <v>4500</v>
      </c>
      <c r="D104" s="9" t="s">
        <v>229</v>
      </c>
      <c r="E104" s="10">
        <f>'April-2'!E98</f>
        <v>48000</v>
      </c>
      <c r="G104" s="1"/>
      <c r="H104" s="1"/>
      <c r="I104" s="1"/>
      <c r="J104" s="1"/>
      <c r="K104" s="1"/>
      <c r="L104" s="1"/>
    </row>
    <row r="105" spans="2:12" s="2" customFormat="1">
      <c r="B105" s="9"/>
      <c r="C105" s="122"/>
      <c r="D105" s="9"/>
      <c r="E105" s="10"/>
      <c r="G105" s="1"/>
      <c r="H105" s="1"/>
      <c r="I105" s="1"/>
      <c r="J105" s="1"/>
      <c r="K105" s="1"/>
      <c r="L105" s="1"/>
    </row>
    <row r="106" spans="2:12" s="2" customFormat="1">
      <c r="B106" s="9" t="s">
        <v>127</v>
      </c>
      <c r="C106" s="10">
        <f>L36</f>
        <v>27231.9391634981</v>
      </c>
      <c r="D106" s="9" t="s">
        <v>135</v>
      </c>
      <c r="E106" s="41">
        <f>'June-2'!E96+'July-2'!C60+F86</f>
        <v>0</v>
      </c>
      <c r="G106" s="1"/>
      <c r="H106" s="1"/>
      <c r="I106" s="1"/>
      <c r="J106" s="1"/>
      <c r="K106" s="1"/>
      <c r="L106" s="1"/>
    </row>
    <row r="107" spans="2:12" s="2" customFormat="1">
      <c r="B107" s="9" t="s">
        <v>128</v>
      </c>
      <c r="C107" s="10">
        <f>L48</f>
        <v>42500</v>
      </c>
      <c r="D107" s="9" t="s">
        <v>86</v>
      </c>
      <c r="E107" s="10">
        <f>L54</f>
        <v>31560</v>
      </c>
      <c r="G107" s="1"/>
      <c r="H107" s="1"/>
      <c r="I107" s="1"/>
      <c r="J107" s="1"/>
      <c r="K107" s="1"/>
      <c r="L107" s="1"/>
    </row>
    <row r="108" spans="2:12" s="2" customFormat="1">
      <c r="B108" s="9"/>
      <c r="C108" s="10"/>
      <c r="D108" s="9" t="s">
        <v>145</v>
      </c>
      <c r="E108" s="10">
        <f>'June-2'!E98-'July-2'!C86+'July-2'!C59</f>
        <v>11854.38783269962</v>
      </c>
      <c r="G108" s="1"/>
      <c r="H108" s="1"/>
      <c r="I108" s="1"/>
      <c r="J108" s="1"/>
      <c r="K108" s="1"/>
      <c r="L108" s="1"/>
    </row>
    <row r="109" spans="2:12" s="2" customFormat="1">
      <c r="B109" s="9" t="s">
        <v>63</v>
      </c>
      <c r="C109" s="28">
        <f>'July-2'!C77</f>
        <v>27320</v>
      </c>
      <c r="E109" s="6"/>
      <c r="G109" s="1"/>
      <c r="H109" s="1"/>
      <c r="I109" s="1"/>
      <c r="J109" s="1"/>
      <c r="K109" s="1"/>
      <c r="L109" s="1"/>
    </row>
    <row r="110" spans="2:12">
      <c r="B110" s="9"/>
      <c r="C110" s="10"/>
      <c r="D110" s="9"/>
      <c r="E110" s="10"/>
    </row>
    <row r="111" spans="2:12">
      <c r="B111" s="18" t="s">
        <v>88</v>
      </c>
      <c r="C111" s="19">
        <f>C107+C109+C106+C102+C104</f>
        <v>157551.93916349811</v>
      </c>
      <c r="D111" s="18" t="s">
        <v>87</v>
      </c>
      <c r="E111" s="19">
        <f>E101+E107+E108+E106+E104</f>
        <v>157551.93916349811</v>
      </c>
    </row>
    <row r="112" spans="2:12">
      <c r="B112" s="7"/>
      <c r="C112" s="8"/>
      <c r="D112" s="7"/>
      <c r="E112" s="8"/>
    </row>
    <row r="115" spans="2:3" ht="19">
      <c r="B115" s="12" t="s">
        <v>316</v>
      </c>
    </row>
    <row r="117" spans="2:3">
      <c r="B117" s="1" t="s">
        <v>173</v>
      </c>
      <c r="C117" s="2">
        <f>'Financial analysis July-1'!M99</f>
        <v>38171.9391634981</v>
      </c>
    </row>
    <row r="118" spans="2:3">
      <c r="C118" s="2"/>
    </row>
    <row r="119" spans="2:3">
      <c r="B119" s="26" t="s">
        <v>183</v>
      </c>
      <c r="C119" s="127">
        <f>'Financial analysis July-1'!M99-'Financial analysis July-1'!L99</f>
        <v>4589.5215810805166</v>
      </c>
    </row>
    <row r="120" spans="2:3">
      <c r="C120" s="2"/>
    </row>
    <row r="121" spans="2:3">
      <c r="B121" s="1" t="s">
        <v>249</v>
      </c>
      <c r="C121" s="2">
        <f>C34</f>
        <v>25149.521581080524</v>
      </c>
    </row>
    <row r="122" spans="2:3">
      <c r="B122" s="1" t="s">
        <v>251</v>
      </c>
      <c r="C122" s="25">
        <f>K14</f>
        <v>1000</v>
      </c>
    </row>
    <row r="123" spans="2:3">
      <c r="C123" s="2"/>
    </row>
    <row r="124" spans="2:3">
      <c r="B124" s="26" t="s">
        <v>29</v>
      </c>
      <c r="C124" s="127">
        <f>C121+C122</f>
        <v>26149.521581080524</v>
      </c>
    </row>
    <row r="125" spans="2:3">
      <c r="C125" s="2"/>
    </row>
    <row r="126" spans="2:3" ht="19">
      <c r="B126" s="87" t="s">
        <v>184</v>
      </c>
      <c r="C126" s="126">
        <f>C124-C119</f>
        <v>21560.000000000007</v>
      </c>
    </row>
    <row r="127" spans="2:3">
      <c r="C127" s="2"/>
    </row>
    <row r="128" spans="2:3">
      <c r="B128" s="1" t="s">
        <v>176</v>
      </c>
      <c r="C128" s="2">
        <f>C59</f>
        <v>0</v>
      </c>
    </row>
    <row r="129" spans="2:6">
      <c r="B129" s="1" t="s">
        <v>253</v>
      </c>
      <c r="C129" s="25">
        <f>C36</f>
        <v>-240</v>
      </c>
    </row>
    <row r="130" spans="2:6">
      <c r="C130" s="2"/>
      <c r="F130" s="2" t="s">
        <v>1</v>
      </c>
    </row>
    <row r="131" spans="2:6">
      <c r="B131" s="1" t="s">
        <v>254</v>
      </c>
      <c r="C131" s="2">
        <f>C126+C129</f>
        <v>21320.000000000007</v>
      </c>
    </row>
    <row r="132" spans="2:6">
      <c r="C132" s="2"/>
    </row>
    <row r="133" spans="2:6">
      <c r="B133" s="1" t="s">
        <v>286</v>
      </c>
      <c r="C133" s="25">
        <f>C62</f>
        <v>-4500</v>
      </c>
    </row>
    <row r="134" spans="2:6">
      <c r="C134" s="2"/>
    </row>
    <row r="135" spans="2:6" s="26" customFormat="1">
      <c r="B135" s="26" t="s">
        <v>256</v>
      </c>
      <c r="C135" s="127">
        <f>C131+C133</f>
        <v>16820.000000000007</v>
      </c>
      <c r="F135" s="127"/>
    </row>
    <row r="136" spans="2:6">
      <c r="C136" s="2"/>
    </row>
    <row r="137" spans="2:6">
      <c r="B137" s="1" t="s">
        <v>257</v>
      </c>
      <c r="C137" s="2">
        <v>0</v>
      </c>
    </row>
    <row r="138" spans="2:6">
      <c r="C138" s="2"/>
    </row>
    <row r="139" spans="2:6">
      <c r="B139" s="1" t="s">
        <v>177</v>
      </c>
      <c r="C139" s="25">
        <f>C60</f>
        <v>0</v>
      </c>
    </row>
    <row r="140" spans="2:6">
      <c r="C140" s="2"/>
    </row>
    <row r="141" spans="2:6">
      <c r="B141" s="26" t="s">
        <v>178</v>
      </c>
      <c r="C141" s="127">
        <f>C135+C137</f>
        <v>16820.000000000007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9003-C8F4-9B49-9BB7-75F392A2A878}">
  <dimension ref="B3:M111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2.83203125" customWidth="1"/>
    <col min="3" max="3" width="10.83203125" customWidth="1"/>
    <col min="7" max="13" width="10.83203125" style="89"/>
  </cols>
  <sheetData>
    <row r="3" spans="2:13" ht="19">
      <c r="B3" s="12"/>
    </row>
    <row r="4" spans="2:13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90"/>
    </row>
    <row r="5" spans="2:13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70" t="s">
        <v>279</v>
      </c>
    </row>
    <row r="6" spans="2:13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92"/>
    </row>
    <row r="7" spans="2:13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90"/>
    </row>
    <row r="8" spans="2:13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93">
        <f>'July-2'!C24</f>
        <v>99500</v>
      </c>
    </row>
    <row r="9" spans="2:13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91"/>
    </row>
    <row r="10" spans="2:13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94">
        <f>'July-2'!C26</f>
        <v>-65950.478418919476</v>
      </c>
    </row>
    <row r="11" spans="2:13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91"/>
    </row>
    <row r="12" spans="2:13">
      <c r="B12" s="71" t="s">
        <v>108</v>
      </c>
      <c r="C12" s="100">
        <f>C8+C10</f>
        <v>2000</v>
      </c>
      <c r="D12" s="100">
        <f t="shared" ref="D12:L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93">
        <f t="shared" ref="M12" si="1">M8+M10</f>
        <v>33549.521581080524</v>
      </c>
    </row>
    <row r="13" spans="2:13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91"/>
    </row>
    <row r="14" spans="2:13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93">
        <f>'July-2'!C30</f>
        <v>-3000</v>
      </c>
    </row>
    <row r="15" spans="2:13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93">
        <f>'July-2'!C31</f>
        <v>-3900</v>
      </c>
    </row>
    <row r="16" spans="2:13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93">
        <f>'July-2'!C32</f>
        <v>-1500</v>
      </c>
    </row>
    <row r="17" spans="2:13">
      <c r="B17" s="71"/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91"/>
    </row>
    <row r="18" spans="2:13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 t="shared" ref="H18:M18" si="3">H12+H14+H15+H16</f>
        <v>4700</v>
      </c>
      <c r="I18" s="136">
        <f t="shared" si="3"/>
        <v>1900</v>
      </c>
      <c r="J18" s="181">
        <f t="shared" si="3"/>
        <v>6100</v>
      </c>
      <c r="K18" s="181">
        <f t="shared" si="3"/>
        <v>5834.5238095238092</v>
      </c>
      <c r="L18" s="181">
        <f t="shared" si="3"/>
        <v>16347.893772893767</v>
      </c>
      <c r="M18" s="93">
        <f t="shared" si="3"/>
        <v>25149.521581080524</v>
      </c>
    </row>
    <row r="19" spans="2:13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183"/>
      <c r="K19" s="183"/>
      <c r="L19" s="183"/>
      <c r="M19" s="94"/>
    </row>
    <row r="20" spans="2:13">
      <c r="B20" s="71"/>
      <c r="C20" s="100"/>
      <c r="D20" s="100"/>
      <c r="E20" s="100"/>
      <c r="F20" s="100"/>
      <c r="G20" s="136"/>
      <c r="H20" s="136"/>
      <c r="I20" s="136"/>
      <c r="J20" s="181"/>
      <c r="K20" s="181"/>
      <c r="L20" s="181"/>
      <c r="M20" s="93"/>
    </row>
    <row r="21" spans="2:13">
      <c r="B21" s="71" t="s">
        <v>144</v>
      </c>
      <c r="C21" s="100">
        <f>C18+C19</f>
        <v>1000</v>
      </c>
      <c r="D21" s="100">
        <f t="shared" ref="D21:L21" si="4">D18+D19</f>
        <v>2000</v>
      </c>
      <c r="E21" s="100">
        <f t="shared" si="4"/>
        <v>3700</v>
      </c>
      <c r="F21" s="100">
        <f t="shared" si="4"/>
        <v>6700</v>
      </c>
      <c r="G21" s="139">
        <f t="shared" si="4"/>
        <v>200</v>
      </c>
      <c r="H21" s="139">
        <f t="shared" si="4"/>
        <v>4700</v>
      </c>
      <c r="I21" s="139">
        <f t="shared" si="4"/>
        <v>1900</v>
      </c>
      <c r="J21" s="184">
        <f t="shared" si="4"/>
        <v>6100</v>
      </c>
      <c r="K21" s="184">
        <f t="shared" si="4"/>
        <v>5834.5238095238092</v>
      </c>
      <c r="L21" s="184">
        <f t="shared" si="4"/>
        <v>16347.893772893767</v>
      </c>
      <c r="M21" s="71">
        <f t="shared" ref="M21" si="5">M18+M19</f>
        <v>25149.521581080524</v>
      </c>
    </row>
    <row r="22" spans="2:13">
      <c r="B22" s="71"/>
      <c r="C22" s="100"/>
      <c r="D22" s="100"/>
      <c r="E22" s="100"/>
      <c r="F22" s="100"/>
      <c r="G22" s="139"/>
      <c r="H22" s="139"/>
      <c r="I22" s="139"/>
      <c r="J22" s="184"/>
      <c r="K22" s="184"/>
      <c r="L22" s="184"/>
      <c r="M22" s="71"/>
    </row>
    <row r="23" spans="2:13">
      <c r="B23" s="71" t="s">
        <v>263</v>
      </c>
      <c r="C23" s="99"/>
      <c r="D23" s="99"/>
      <c r="E23" s="99"/>
      <c r="F23" s="99"/>
      <c r="G23" s="140"/>
      <c r="H23" s="140"/>
      <c r="I23" s="140"/>
      <c r="J23" s="185">
        <f>'April-2'!D36</f>
        <v>-240</v>
      </c>
      <c r="K23" s="185">
        <f>'May-2'!D36</f>
        <v>-240</v>
      </c>
      <c r="L23" s="185">
        <f>'June-2'!D36</f>
        <v>-240</v>
      </c>
      <c r="M23" s="72">
        <f>'July-2'!C36</f>
        <v>-240</v>
      </c>
    </row>
    <row r="24" spans="2:13">
      <c r="B24" s="71"/>
      <c r="C24" s="100"/>
      <c r="D24" s="100"/>
      <c r="E24" s="100"/>
      <c r="F24" s="100"/>
      <c r="G24" s="139"/>
      <c r="H24" s="139"/>
      <c r="I24" s="139"/>
      <c r="J24" s="184"/>
      <c r="K24" s="184"/>
      <c r="L24" s="184"/>
      <c r="M24" s="71"/>
    </row>
    <row r="25" spans="2:13">
      <c r="B25" s="71" t="s">
        <v>264</v>
      </c>
      <c r="C25" s="100"/>
      <c r="D25" s="100"/>
      <c r="E25" s="100"/>
      <c r="F25" s="100"/>
      <c r="G25" s="139"/>
      <c r="H25" s="139"/>
      <c r="I25" s="139"/>
      <c r="J25" s="184">
        <f>J21+J23</f>
        <v>5860</v>
      </c>
      <c r="K25" s="184">
        <f>K21+K23</f>
        <v>5594.5238095238092</v>
      </c>
      <c r="L25" s="184">
        <f>L21+L23</f>
        <v>16107.893772893767</v>
      </c>
      <c r="M25" s="71">
        <f>M21+M23</f>
        <v>24909.521581080524</v>
      </c>
    </row>
    <row r="26" spans="2:13">
      <c r="B26" s="71"/>
      <c r="C26" s="100"/>
      <c r="D26" s="100"/>
      <c r="E26" s="100"/>
      <c r="F26" s="100"/>
      <c r="G26" s="137"/>
      <c r="H26" s="137"/>
      <c r="I26" s="137"/>
      <c r="J26" s="182"/>
      <c r="K26" s="182"/>
      <c r="L26" s="182"/>
      <c r="M26" s="91"/>
    </row>
    <row r="27" spans="2:13">
      <c r="B27" s="71" t="s">
        <v>265</v>
      </c>
      <c r="C27" s="99">
        <f t="shared" ref="C27:I27" si="6">-C21*TIS</f>
        <v>-200</v>
      </c>
      <c r="D27" s="99">
        <f t="shared" si="6"/>
        <v>-400</v>
      </c>
      <c r="E27" s="99">
        <f t="shared" si="6"/>
        <v>-740</v>
      </c>
      <c r="F27" s="99">
        <f t="shared" si="6"/>
        <v>-1340</v>
      </c>
      <c r="G27" s="140">
        <f t="shared" si="6"/>
        <v>-40</v>
      </c>
      <c r="H27" s="140">
        <f t="shared" si="6"/>
        <v>-940</v>
      </c>
      <c r="I27" s="140">
        <f t="shared" si="6"/>
        <v>-380</v>
      </c>
      <c r="J27" s="185">
        <f>'April-2'!D40</f>
        <v>-1172</v>
      </c>
      <c r="K27" s="185">
        <f>'May-2'!D40</f>
        <v>-1118.9047619047619</v>
      </c>
      <c r="L27" s="185">
        <f>'June-2'!D40</f>
        <v>-3221.5787545787534</v>
      </c>
      <c r="M27" s="72">
        <f>'July-2'!C40</f>
        <v>-4981.9043162161051</v>
      </c>
    </row>
    <row r="28" spans="2:13">
      <c r="B28" s="71"/>
      <c r="C28" s="100"/>
      <c r="D28" s="100"/>
      <c r="E28" s="100"/>
      <c r="F28" s="100"/>
      <c r="G28" s="137"/>
      <c r="H28" s="137"/>
      <c r="I28" s="137"/>
      <c r="J28" s="182"/>
      <c r="K28" s="182"/>
      <c r="L28" s="182"/>
      <c r="M28" s="91"/>
    </row>
    <row r="29" spans="2:13">
      <c r="B29" s="71" t="s">
        <v>167</v>
      </c>
      <c r="C29" s="100">
        <f>C21+C27</f>
        <v>800</v>
      </c>
      <c r="D29" s="100">
        <f t="shared" ref="D29:I29" si="7">D21+D27</f>
        <v>1600</v>
      </c>
      <c r="E29" s="100">
        <f t="shared" si="7"/>
        <v>2960</v>
      </c>
      <c r="F29" s="100">
        <f t="shared" si="7"/>
        <v>5360</v>
      </c>
      <c r="G29" s="139">
        <f t="shared" si="7"/>
        <v>160</v>
      </c>
      <c r="H29" s="139">
        <f t="shared" si="7"/>
        <v>3760</v>
      </c>
      <c r="I29" s="139">
        <f t="shared" si="7"/>
        <v>1520</v>
      </c>
      <c r="J29" s="184">
        <f>J25+J27</f>
        <v>4688</v>
      </c>
      <c r="K29" s="184">
        <f>K25+K27</f>
        <v>4475.6190476190477</v>
      </c>
      <c r="L29" s="184">
        <f>L25+L27</f>
        <v>12886.315018315014</v>
      </c>
      <c r="M29" s="71">
        <f>M25+M27</f>
        <v>19927.617264864421</v>
      </c>
    </row>
    <row r="30" spans="2:13">
      <c r="B30" s="53"/>
      <c r="C30" s="104"/>
      <c r="D30" s="104"/>
      <c r="E30" s="104"/>
      <c r="F30" s="104"/>
      <c r="G30" s="135"/>
      <c r="H30" s="135"/>
      <c r="I30" s="135"/>
      <c r="J30" s="180"/>
      <c r="K30" s="180"/>
      <c r="L30" s="180"/>
      <c r="M30" s="92"/>
    </row>
    <row r="46" spans="2:13">
      <c r="B46" s="50"/>
      <c r="C46" s="102"/>
      <c r="D46" s="102"/>
      <c r="E46" s="102"/>
      <c r="F46" s="102"/>
      <c r="G46" s="133"/>
      <c r="H46" s="133"/>
      <c r="I46" s="133"/>
      <c r="J46" s="178"/>
      <c r="K46" s="178"/>
      <c r="L46" s="178"/>
      <c r="M46" s="90"/>
    </row>
    <row r="47" spans="2:13" ht="19">
      <c r="B47" s="80" t="s">
        <v>287</v>
      </c>
      <c r="C47" s="103" t="str">
        <f>C5</f>
        <v>September</v>
      </c>
      <c r="D47" s="103" t="str">
        <f t="shared" ref="D47:M47" si="8">D5</f>
        <v>October</v>
      </c>
      <c r="E47" s="103" t="str">
        <f t="shared" si="8"/>
        <v>November</v>
      </c>
      <c r="F47" s="103" t="str">
        <f t="shared" si="8"/>
        <v>December</v>
      </c>
      <c r="G47" s="103" t="str">
        <f t="shared" si="8"/>
        <v>January</v>
      </c>
      <c r="H47" s="103" t="str">
        <f t="shared" si="8"/>
        <v>February</v>
      </c>
      <c r="I47" s="103" t="str">
        <f t="shared" si="8"/>
        <v>March</v>
      </c>
      <c r="J47" s="103" t="str">
        <f t="shared" si="8"/>
        <v>April</v>
      </c>
      <c r="K47" s="103" t="str">
        <f t="shared" si="8"/>
        <v>May</v>
      </c>
      <c r="L47" s="103" t="str">
        <f t="shared" si="8"/>
        <v>June</v>
      </c>
      <c r="M47" s="103" t="str">
        <f t="shared" si="8"/>
        <v>July</v>
      </c>
    </row>
    <row r="48" spans="2:13">
      <c r="B48" s="53"/>
      <c r="C48" s="104"/>
      <c r="D48" s="104"/>
      <c r="E48" s="104"/>
      <c r="F48" s="104"/>
      <c r="G48" s="135"/>
      <c r="H48" s="135"/>
      <c r="I48" s="135"/>
      <c r="J48" s="180"/>
      <c r="K48" s="180"/>
      <c r="L48" s="180"/>
      <c r="M48" s="92"/>
    </row>
    <row r="49" spans="2:13">
      <c r="B49" s="50"/>
      <c r="C49" s="102"/>
      <c r="D49" s="102"/>
      <c r="E49" s="102"/>
      <c r="F49" s="102"/>
      <c r="G49" s="133"/>
      <c r="H49" s="133"/>
      <c r="I49" s="133"/>
      <c r="J49" s="178"/>
      <c r="K49" s="178"/>
      <c r="L49" s="178"/>
      <c r="M49" s="90"/>
    </row>
    <row r="50" spans="2:13">
      <c r="B50" s="71" t="s">
        <v>65</v>
      </c>
      <c r="C50" s="105">
        <f t="shared" ref="C50:L50" si="9">C8/C$8</f>
        <v>1</v>
      </c>
      <c r="D50" s="105">
        <f t="shared" si="9"/>
        <v>1</v>
      </c>
      <c r="E50" s="105">
        <f t="shared" si="9"/>
        <v>1</v>
      </c>
      <c r="F50" s="105">
        <f t="shared" si="9"/>
        <v>1</v>
      </c>
      <c r="G50" s="141">
        <f t="shared" si="9"/>
        <v>1</v>
      </c>
      <c r="H50" s="141">
        <f t="shared" si="9"/>
        <v>1</v>
      </c>
      <c r="I50" s="141">
        <f t="shared" si="9"/>
        <v>1</v>
      </c>
      <c r="J50" s="186">
        <f t="shared" si="9"/>
        <v>1</v>
      </c>
      <c r="K50" s="186">
        <f t="shared" si="9"/>
        <v>1</v>
      </c>
      <c r="L50" s="186">
        <f t="shared" si="9"/>
        <v>1</v>
      </c>
      <c r="M50" s="95">
        <f t="shared" ref="M50" si="10">M8/M$8</f>
        <v>1</v>
      </c>
    </row>
    <row r="51" spans="2:13">
      <c r="B51" s="71"/>
      <c r="C51" s="100"/>
      <c r="D51" s="100"/>
      <c r="E51" s="100"/>
      <c r="F51" s="100"/>
      <c r="G51" s="136"/>
      <c r="H51" s="136"/>
      <c r="I51" s="136"/>
      <c r="J51" s="181"/>
      <c r="K51" s="181"/>
      <c r="L51" s="181"/>
      <c r="M51" s="93"/>
    </row>
    <row r="52" spans="2:13">
      <c r="B52" s="71" t="s">
        <v>187</v>
      </c>
      <c r="C52" s="106">
        <f t="shared" ref="C52:L52" si="11">C10/C$8</f>
        <v>-0.66666666666666663</v>
      </c>
      <c r="D52" s="106">
        <f t="shared" si="11"/>
        <v>-0.72727272727272729</v>
      </c>
      <c r="E52" s="106">
        <f t="shared" si="11"/>
        <v>-0.7407407407407407</v>
      </c>
      <c r="F52" s="106">
        <f t="shared" si="11"/>
        <v>-0.72222222222222221</v>
      </c>
      <c r="G52" s="142">
        <f t="shared" si="11"/>
        <v>-0.72727272727272729</v>
      </c>
      <c r="H52" s="142">
        <f t="shared" si="11"/>
        <v>-0.72463768115942029</v>
      </c>
      <c r="I52" s="142">
        <f t="shared" si="11"/>
        <v>-0.72727272727272729</v>
      </c>
      <c r="J52" s="187">
        <f t="shared" si="11"/>
        <v>-0.72380952380952379</v>
      </c>
      <c r="K52" s="187">
        <f t="shared" si="11"/>
        <v>-0.76471861471861469</v>
      </c>
      <c r="L52" s="187">
        <f t="shared" si="11"/>
        <v>-0.68870573870573881</v>
      </c>
      <c r="M52" s="96">
        <f t="shared" ref="M52" si="12">M10/M$8</f>
        <v>-0.66281887858210531</v>
      </c>
    </row>
    <row r="53" spans="2:13">
      <c r="B53" s="71"/>
      <c r="C53" s="100"/>
      <c r="D53" s="100"/>
      <c r="E53" s="100"/>
      <c r="F53" s="100"/>
      <c r="G53" s="136"/>
      <c r="H53" s="136"/>
      <c r="I53" s="136"/>
      <c r="J53" s="181"/>
      <c r="K53" s="181"/>
      <c r="L53" s="181"/>
      <c r="M53" s="93"/>
    </row>
    <row r="54" spans="2:13">
      <c r="B54" s="71" t="s">
        <v>108</v>
      </c>
      <c r="C54" s="105">
        <f t="shared" ref="C54:L54" si="13">C12/C$8</f>
        <v>0.33333333333333331</v>
      </c>
      <c r="D54" s="105">
        <f t="shared" si="13"/>
        <v>0.27272727272727271</v>
      </c>
      <c r="E54" s="105">
        <f t="shared" si="13"/>
        <v>0.25925925925925924</v>
      </c>
      <c r="F54" s="105">
        <f t="shared" si="13"/>
        <v>0.27777777777777779</v>
      </c>
      <c r="G54" s="141">
        <f t="shared" si="13"/>
        <v>0.27272727272727271</v>
      </c>
      <c r="H54" s="141">
        <f t="shared" si="13"/>
        <v>0.27536231884057971</v>
      </c>
      <c r="I54" s="141">
        <f t="shared" si="13"/>
        <v>0.27272727272727271</v>
      </c>
      <c r="J54" s="186">
        <f t="shared" si="13"/>
        <v>0.27619047619047621</v>
      </c>
      <c r="K54" s="186">
        <f t="shared" si="13"/>
        <v>0.23528138528138529</v>
      </c>
      <c r="L54" s="186">
        <f t="shared" si="13"/>
        <v>0.31129426129426124</v>
      </c>
      <c r="M54" s="95">
        <f t="shared" ref="M54" si="14">M12/M$8</f>
        <v>0.33718112141789469</v>
      </c>
    </row>
    <row r="55" spans="2:13">
      <c r="B55" s="71"/>
      <c r="C55" s="100"/>
      <c r="D55" s="100"/>
      <c r="E55" s="100"/>
      <c r="F55" s="100"/>
      <c r="G55" s="136"/>
      <c r="H55" s="136"/>
      <c r="I55" s="136"/>
      <c r="J55" s="181"/>
      <c r="K55" s="181"/>
      <c r="L55" s="181"/>
      <c r="M55" s="93"/>
    </row>
    <row r="56" spans="2:13">
      <c r="B56" s="71" t="s">
        <v>99</v>
      </c>
      <c r="C56" s="105">
        <f t="shared" ref="C56:L57" si="15">C14/C$8</f>
        <v>-0.16666666666666666</v>
      </c>
      <c r="D56" s="105">
        <f t="shared" si="15"/>
        <v>-9.0909090909090912E-2</v>
      </c>
      <c r="E56" s="105">
        <f t="shared" si="15"/>
        <v>-7.407407407407407E-2</v>
      </c>
      <c r="F56" s="105">
        <f t="shared" si="15"/>
        <v>-5.5555555555555552E-2</v>
      </c>
      <c r="G56" s="141">
        <f t="shared" si="15"/>
        <v>-7.2727272727272724E-2</v>
      </c>
      <c r="H56" s="141">
        <f t="shared" si="15"/>
        <v>-5.7971014492753624E-2</v>
      </c>
      <c r="I56" s="141">
        <f t="shared" si="15"/>
        <v>-7.792207792207792E-2</v>
      </c>
      <c r="J56" s="186">
        <f t="shared" si="15"/>
        <v>-5.7142857142857141E-2</v>
      </c>
      <c r="K56" s="186">
        <f t="shared" si="15"/>
        <v>-4.9586776859504134E-2</v>
      </c>
      <c r="L56" s="186">
        <f t="shared" si="15"/>
        <v>-3.7735849056603772E-2</v>
      </c>
      <c r="M56" s="95">
        <f t="shared" ref="M56" si="16">M14/M$8</f>
        <v>-3.015075376884422E-2</v>
      </c>
    </row>
    <row r="57" spans="2:13">
      <c r="B57" s="71" t="s">
        <v>100</v>
      </c>
      <c r="C57" s="100"/>
      <c r="D57" s="100"/>
      <c r="E57" s="105">
        <f t="shared" si="15"/>
        <v>-4.8148148148148148E-2</v>
      </c>
      <c r="F57" s="105">
        <f t="shared" si="15"/>
        <v>-3.6111111111111108E-2</v>
      </c>
      <c r="G57" s="141">
        <f t="shared" si="15"/>
        <v>-4.7272727272727272E-2</v>
      </c>
      <c r="H57" s="141">
        <f t="shared" si="15"/>
        <v>-3.7681159420289857E-2</v>
      </c>
      <c r="I57" s="141">
        <f t="shared" si="15"/>
        <v>-6.7532467532467527E-2</v>
      </c>
      <c r="J57" s="186">
        <f t="shared" si="15"/>
        <v>-7.4285714285714288E-2</v>
      </c>
      <c r="K57" s="186">
        <f t="shared" si="15"/>
        <v>-6.4462809917355368E-2</v>
      </c>
      <c r="L57" s="186">
        <f t="shared" si="15"/>
        <v>-4.9056603773584909E-2</v>
      </c>
      <c r="M57" s="95">
        <f t="shared" ref="M57" si="17">M15/M$8</f>
        <v>-3.9195979899497489E-2</v>
      </c>
    </row>
    <row r="58" spans="2:13">
      <c r="B58" s="71" t="s">
        <v>188</v>
      </c>
      <c r="C58" s="99"/>
      <c r="D58" s="99"/>
      <c r="E58" s="99"/>
      <c r="F58" s="99"/>
      <c r="G58" s="138"/>
      <c r="H58" s="142">
        <f t="shared" ref="H58:M58" si="18">H16/H$8</f>
        <v>-4.3478260869565216E-2</v>
      </c>
      <c r="I58" s="142">
        <f t="shared" si="18"/>
        <v>-7.792207792207792E-2</v>
      </c>
      <c r="J58" s="187">
        <f t="shared" si="18"/>
        <v>-2.8571428571428571E-2</v>
      </c>
      <c r="K58" s="187">
        <f t="shared" si="18"/>
        <v>-2.4793388429752067E-2</v>
      </c>
      <c r="L58" s="187">
        <f t="shared" si="18"/>
        <v>-1.8867924528301886E-2</v>
      </c>
      <c r="M58" s="96">
        <f t="shared" si="18"/>
        <v>-1.507537688442211E-2</v>
      </c>
    </row>
    <row r="59" spans="2:13">
      <c r="B59" s="71"/>
      <c r="C59" s="100"/>
      <c r="D59" s="100"/>
      <c r="E59" s="100"/>
      <c r="F59" s="100"/>
      <c r="G59" s="136"/>
      <c r="H59" s="136"/>
      <c r="I59" s="136"/>
      <c r="J59" s="181"/>
      <c r="K59" s="181"/>
      <c r="L59" s="181"/>
      <c r="M59" s="93"/>
    </row>
    <row r="60" spans="2:13">
      <c r="B60" s="71" t="s">
        <v>181</v>
      </c>
      <c r="C60" s="105">
        <f t="shared" ref="C60:L60" si="19">C18/C$8</f>
        <v>0.16666666666666666</v>
      </c>
      <c r="D60" s="105">
        <f t="shared" si="19"/>
        <v>0.18181818181818182</v>
      </c>
      <c r="E60" s="105">
        <f t="shared" si="19"/>
        <v>0.13703703703703704</v>
      </c>
      <c r="F60" s="105">
        <f t="shared" si="19"/>
        <v>0.18611111111111112</v>
      </c>
      <c r="G60" s="141">
        <f t="shared" si="19"/>
        <v>0.15272727272727274</v>
      </c>
      <c r="H60" s="141">
        <f t="shared" si="19"/>
        <v>0.13623188405797101</v>
      </c>
      <c r="I60" s="141">
        <f t="shared" si="19"/>
        <v>4.9350649350649353E-2</v>
      </c>
      <c r="J60" s="186">
        <f t="shared" si="19"/>
        <v>0.11619047619047619</v>
      </c>
      <c r="K60" s="186">
        <f t="shared" si="19"/>
        <v>9.6438410074773703E-2</v>
      </c>
      <c r="L60" s="186">
        <f t="shared" si="19"/>
        <v>0.20563388393577064</v>
      </c>
      <c r="M60" s="95">
        <f t="shared" ref="M60" si="20">M18/M$8</f>
        <v>0.25275901086513092</v>
      </c>
    </row>
    <row r="61" spans="2:13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187"/>
      <c r="K61" s="187"/>
      <c r="L61" s="187"/>
      <c r="M61" s="96"/>
    </row>
    <row r="62" spans="2:13">
      <c r="B62" s="71"/>
      <c r="C62" s="105"/>
      <c r="D62" s="105"/>
      <c r="E62" s="105"/>
      <c r="F62" s="105"/>
      <c r="G62" s="141"/>
      <c r="H62" s="141"/>
      <c r="I62" s="141"/>
      <c r="J62" s="186"/>
      <c r="K62" s="186"/>
      <c r="L62" s="186"/>
      <c r="M62" s="95"/>
    </row>
    <row r="63" spans="2:13">
      <c r="B63" s="71" t="s">
        <v>144</v>
      </c>
      <c r="C63" s="105">
        <f>C60+C61</f>
        <v>0.16666666666666666</v>
      </c>
      <c r="D63" s="105">
        <f t="shared" ref="D63:L63" si="21">D60+D61</f>
        <v>0.18181818181818182</v>
      </c>
      <c r="E63" s="105">
        <f t="shared" si="21"/>
        <v>0.13703703703703704</v>
      </c>
      <c r="F63" s="105">
        <f t="shared" si="21"/>
        <v>0.18611111111111112</v>
      </c>
      <c r="G63" s="143">
        <f t="shared" si="21"/>
        <v>7.2727272727272918E-3</v>
      </c>
      <c r="H63" s="143">
        <f t="shared" si="21"/>
        <v>0.13623188405797101</v>
      </c>
      <c r="I63" s="143">
        <f t="shared" si="21"/>
        <v>4.9350649350649353E-2</v>
      </c>
      <c r="J63" s="188">
        <f t="shared" si="21"/>
        <v>0.11619047619047619</v>
      </c>
      <c r="K63" s="188">
        <f t="shared" si="21"/>
        <v>9.6438410074773703E-2</v>
      </c>
      <c r="L63" s="188">
        <f t="shared" si="21"/>
        <v>0.20563388393577064</v>
      </c>
      <c r="M63" s="107">
        <f t="shared" ref="M63" si="22">M60+M61</f>
        <v>0.25275901086513092</v>
      </c>
    </row>
    <row r="64" spans="2:13">
      <c r="B64" s="71"/>
      <c r="C64" s="105"/>
      <c r="D64" s="105"/>
      <c r="E64" s="105"/>
      <c r="F64" s="105"/>
      <c r="G64" s="143"/>
      <c r="H64" s="143"/>
      <c r="I64" s="143"/>
      <c r="J64" s="188"/>
      <c r="K64" s="188"/>
      <c r="L64" s="188"/>
      <c r="M64" s="107"/>
    </row>
    <row r="65" spans="2:13">
      <c r="B65" s="71" t="s">
        <v>263</v>
      </c>
      <c r="C65" s="106"/>
      <c r="D65" s="106"/>
      <c r="E65" s="106"/>
      <c r="F65" s="106"/>
      <c r="G65" s="144"/>
      <c r="H65" s="144"/>
      <c r="I65" s="144"/>
      <c r="J65" s="187">
        <f>J23/J$8</f>
        <v>-4.5714285714285718E-3</v>
      </c>
      <c r="K65" s="187">
        <f>K23/K$8</f>
        <v>-3.9669421487603307E-3</v>
      </c>
      <c r="L65" s="187">
        <f>L23/L$8</f>
        <v>-3.0188679245283017E-3</v>
      </c>
      <c r="M65" s="96">
        <f>M23/M$8</f>
        <v>-2.4120603015075378E-3</v>
      </c>
    </row>
    <row r="66" spans="2:13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107"/>
    </row>
    <row r="67" spans="2:13">
      <c r="B67" s="71" t="s">
        <v>264</v>
      </c>
      <c r="C67" s="105"/>
      <c r="D67" s="105"/>
      <c r="E67" s="105"/>
      <c r="F67" s="105"/>
      <c r="G67" s="143"/>
      <c r="H67" s="143"/>
      <c r="I67" s="143"/>
      <c r="J67" s="188">
        <f>J63+J65</f>
        <v>0.11161904761904762</v>
      </c>
      <c r="K67" s="188">
        <f>K63+K65</f>
        <v>9.2471467926013379E-2</v>
      </c>
      <c r="L67" s="188">
        <f>L63+L65</f>
        <v>0.20261501601124235</v>
      </c>
      <c r="M67" s="107">
        <f>M63+M65</f>
        <v>0.25034695056362338</v>
      </c>
    </row>
    <row r="68" spans="2:13">
      <c r="B68" s="71"/>
      <c r="C68" s="100"/>
      <c r="D68" s="100"/>
      <c r="E68" s="100"/>
      <c r="F68" s="100"/>
      <c r="G68" s="136"/>
      <c r="H68" s="136"/>
      <c r="I68" s="136"/>
      <c r="J68" s="181"/>
      <c r="K68" s="181"/>
      <c r="L68" s="181"/>
      <c r="M68" s="93"/>
    </row>
    <row r="69" spans="2:13">
      <c r="B69" s="71" t="s">
        <v>265</v>
      </c>
      <c r="C69" s="106">
        <f t="shared" ref="C69:L69" si="23">C27/C$8</f>
        <v>-3.3333333333333333E-2</v>
      </c>
      <c r="D69" s="106">
        <f t="shared" si="23"/>
        <v>-3.6363636363636362E-2</v>
      </c>
      <c r="E69" s="106">
        <f t="shared" si="23"/>
        <v>-2.7407407407407408E-2</v>
      </c>
      <c r="F69" s="106">
        <f t="shared" si="23"/>
        <v>-3.7222222222222219E-2</v>
      </c>
      <c r="G69" s="142">
        <f t="shared" si="23"/>
        <v>-1.4545454545454545E-3</v>
      </c>
      <c r="H69" s="142">
        <f t="shared" si="23"/>
        <v>-2.7246376811594204E-2</v>
      </c>
      <c r="I69" s="142">
        <f t="shared" si="23"/>
        <v>-9.870129870129871E-3</v>
      </c>
      <c r="J69" s="187">
        <f t="shared" si="23"/>
        <v>-2.2323809523809524E-2</v>
      </c>
      <c r="K69" s="187">
        <f t="shared" si="23"/>
        <v>-1.8494293585202676E-2</v>
      </c>
      <c r="L69" s="187">
        <f t="shared" si="23"/>
        <v>-4.052300320224847E-2</v>
      </c>
      <c r="M69" s="96">
        <f t="shared" ref="M69" si="24">M27/M$8</f>
        <v>-5.0069390112724675E-2</v>
      </c>
    </row>
    <row r="70" spans="2:13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93"/>
    </row>
    <row r="71" spans="2:13">
      <c r="B71" s="71" t="s">
        <v>167</v>
      </c>
      <c r="C71" s="105">
        <f t="shared" ref="C71:I71" si="25">C29/C$8</f>
        <v>0.13333333333333333</v>
      </c>
      <c r="D71" s="105">
        <f t="shared" si="25"/>
        <v>0.14545454545454545</v>
      </c>
      <c r="E71" s="105">
        <f t="shared" si="25"/>
        <v>0.10962962962962963</v>
      </c>
      <c r="F71" s="105">
        <f t="shared" si="25"/>
        <v>0.14888888888888888</v>
      </c>
      <c r="G71" s="141">
        <f t="shared" si="25"/>
        <v>5.8181818181818178E-3</v>
      </c>
      <c r="H71" s="141">
        <f t="shared" si="25"/>
        <v>0.10898550724637682</v>
      </c>
      <c r="I71" s="141">
        <f t="shared" si="25"/>
        <v>3.9480519480519484E-2</v>
      </c>
      <c r="J71" s="186">
        <f>J67+J69</f>
        <v>8.9295238095238094E-2</v>
      </c>
      <c r="K71" s="186">
        <f>K67+K69</f>
        <v>7.3977174340810706E-2</v>
      </c>
      <c r="L71" s="186">
        <f>L67+L69</f>
        <v>0.16209201280899388</v>
      </c>
      <c r="M71" s="95">
        <f>M67+M69</f>
        <v>0.2002775604508987</v>
      </c>
    </row>
    <row r="72" spans="2:13">
      <c r="B72" s="53"/>
      <c r="C72" s="104"/>
      <c r="D72" s="104"/>
      <c r="E72" s="104"/>
      <c r="F72" s="104"/>
      <c r="G72" s="135"/>
      <c r="H72" s="135"/>
      <c r="I72" s="135"/>
      <c r="J72" s="180"/>
      <c r="K72" s="180"/>
      <c r="L72" s="180"/>
      <c r="M72" s="92"/>
    </row>
    <row r="88" spans="2:13" s="75" customFormat="1">
      <c r="B88" s="86"/>
      <c r="C88" s="97"/>
      <c r="D88" s="97"/>
      <c r="E88" s="97"/>
      <c r="F88" s="97"/>
      <c r="G88" s="145"/>
      <c r="H88" s="145"/>
      <c r="I88" s="145"/>
      <c r="J88" s="189"/>
      <c r="K88" s="189"/>
      <c r="L88" s="189"/>
      <c r="M88" s="86"/>
    </row>
    <row r="89" spans="2:13" s="75" customFormat="1" ht="19">
      <c r="B89" s="80" t="s">
        <v>152</v>
      </c>
      <c r="C89" s="98" t="str">
        <f>C47</f>
        <v>September</v>
      </c>
      <c r="D89" s="98" t="str">
        <f t="shared" ref="D89:M89" si="26">D47</f>
        <v>October</v>
      </c>
      <c r="E89" s="98" t="str">
        <f t="shared" si="26"/>
        <v>November</v>
      </c>
      <c r="F89" s="98" t="str">
        <f t="shared" si="26"/>
        <v>December</v>
      </c>
      <c r="G89" s="146" t="str">
        <f t="shared" si="26"/>
        <v>January</v>
      </c>
      <c r="H89" s="146" t="str">
        <f t="shared" si="26"/>
        <v>February</v>
      </c>
      <c r="I89" s="146" t="str">
        <f t="shared" si="26"/>
        <v>March</v>
      </c>
      <c r="J89" s="190" t="str">
        <f t="shared" si="26"/>
        <v>April</v>
      </c>
      <c r="K89" s="190" t="str">
        <f t="shared" si="26"/>
        <v>May</v>
      </c>
      <c r="L89" s="190" t="str">
        <f t="shared" si="26"/>
        <v>June</v>
      </c>
      <c r="M89" s="83" t="str">
        <f t="shared" si="26"/>
        <v>July</v>
      </c>
    </row>
    <row r="90" spans="2:13" s="75" customFormat="1">
      <c r="B90" s="72"/>
      <c r="C90" s="99"/>
      <c r="D90" s="99"/>
      <c r="E90" s="99"/>
      <c r="F90" s="99"/>
      <c r="G90" s="140"/>
      <c r="H90" s="140"/>
      <c r="I90" s="140"/>
      <c r="J90" s="185"/>
      <c r="K90" s="185"/>
      <c r="L90" s="185"/>
      <c r="M90" s="72"/>
    </row>
    <row r="91" spans="2:13" s="75" customFormat="1">
      <c r="B91" s="86"/>
      <c r="C91" s="97"/>
      <c r="D91" s="97"/>
      <c r="E91" s="97"/>
      <c r="F91" s="97"/>
      <c r="G91" s="145"/>
      <c r="H91" s="145"/>
      <c r="I91" s="145"/>
      <c r="J91" s="189"/>
      <c r="K91" s="189"/>
      <c r="L91" s="189"/>
      <c r="M91" s="86"/>
    </row>
    <row r="92" spans="2:13" s="75" customFormat="1">
      <c r="B92" s="71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184">
        <f>'April-2'!C100</f>
        <v>14300</v>
      </c>
      <c r="K92" s="184">
        <f>'May-2'!C96</f>
        <v>16854.523809523809</v>
      </c>
      <c r="L92" s="184">
        <f>'June-2'!L36</f>
        <v>21562.417582417584</v>
      </c>
      <c r="M92" s="71">
        <f>'July-2'!C106</f>
        <v>27231.9391634981</v>
      </c>
    </row>
    <row r="93" spans="2:13" s="75" customFormat="1">
      <c r="B93" s="71"/>
      <c r="C93" s="100"/>
      <c r="D93" s="100"/>
      <c r="E93" s="100"/>
      <c r="F93" s="100"/>
      <c r="G93" s="139"/>
      <c r="H93" s="139"/>
      <c r="I93" s="139"/>
      <c r="J93" s="184"/>
      <c r="K93" s="184"/>
      <c r="L93" s="184"/>
      <c r="M93" s="71"/>
    </row>
    <row r="94" spans="2:13" s="75" customFormat="1">
      <c r="B94" s="71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184">
        <f>'April-2'!C101</f>
        <v>22500</v>
      </c>
      <c r="K94" s="184">
        <f>'May-2'!C97</f>
        <v>27500</v>
      </c>
      <c r="L94" s="184">
        <f>'June-2'!L48</f>
        <v>37500</v>
      </c>
      <c r="M94" s="71">
        <f>'July-2'!C107</f>
        <v>42500</v>
      </c>
    </row>
    <row r="95" spans="2:13" s="75" customFormat="1">
      <c r="B95" s="71"/>
      <c r="C95" s="100"/>
      <c r="D95" s="100"/>
      <c r="E95" s="100"/>
      <c r="F95" s="100"/>
      <c r="G95" s="139"/>
      <c r="H95" s="139"/>
      <c r="I95" s="139"/>
      <c r="J95" s="184"/>
      <c r="K95" s="184"/>
      <c r="L95" s="184"/>
      <c r="M95" s="71"/>
    </row>
    <row r="96" spans="2:13" s="75" customFormat="1">
      <c r="B96" s="71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184">
        <f>-'April-2'!E101</f>
        <v>-19400</v>
      </c>
      <c r="K96" s="184">
        <f>-'May-2'!E97</f>
        <v>-20160</v>
      </c>
      <c r="L96" s="184">
        <f>-'June-2'!L54</f>
        <v>-25480</v>
      </c>
      <c r="M96" s="71">
        <f>-'July-2'!E107</f>
        <v>-31560</v>
      </c>
    </row>
    <row r="97" spans="2:13" s="75" customFormat="1">
      <c r="B97" s="71"/>
      <c r="C97" s="99"/>
      <c r="D97" s="99"/>
      <c r="E97" s="99"/>
      <c r="F97" s="99"/>
      <c r="G97" s="140"/>
      <c r="H97" s="140"/>
      <c r="I97" s="140"/>
      <c r="J97" s="185"/>
      <c r="K97" s="185"/>
      <c r="L97" s="185"/>
      <c r="M97" s="72"/>
    </row>
    <row r="98" spans="2:13" s="75" customFormat="1">
      <c r="B98" s="71"/>
      <c r="C98" s="100"/>
      <c r="D98" s="100"/>
      <c r="E98" s="100"/>
      <c r="F98" s="100"/>
      <c r="G98" s="139"/>
      <c r="H98" s="139"/>
      <c r="I98" s="139"/>
      <c r="J98" s="184"/>
      <c r="K98" s="184"/>
      <c r="L98" s="184"/>
      <c r="M98" s="71"/>
    </row>
    <row r="99" spans="2:13" s="75" customFormat="1">
      <c r="B99" s="74" t="s">
        <v>155</v>
      </c>
      <c r="C99" s="101">
        <f>C92+C94+C96</f>
        <v>0</v>
      </c>
      <c r="D99" s="101">
        <f t="shared" ref="D99:L99" si="27">D92+D94+D96</f>
        <v>1000</v>
      </c>
      <c r="E99" s="101">
        <f t="shared" si="27"/>
        <v>10000</v>
      </c>
      <c r="F99" s="101">
        <f t="shared" si="27"/>
        <v>13000</v>
      </c>
      <c r="G99" s="147">
        <f t="shared" si="27"/>
        <v>8500</v>
      </c>
      <c r="H99" s="147">
        <f t="shared" si="27"/>
        <v>9000</v>
      </c>
      <c r="I99" s="147">
        <f t="shared" si="27"/>
        <v>12000</v>
      </c>
      <c r="J99" s="191">
        <f t="shared" si="27"/>
        <v>17400</v>
      </c>
      <c r="K99" s="191">
        <f t="shared" si="27"/>
        <v>24194.523809523809</v>
      </c>
      <c r="L99" s="191">
        <f t="shared" si="27"/>
        <v>33582.417582417584</v>
      </c>
      <c r="M99" s="74">
        <f t="shared" ref="M99" si="28">M92+M94+M96</f>
        <v>38171.9391634981</v>
      </c>
    </row>
    <row r="100" spans="2:13" s="75" customFormat="1">
      <c r="B100" s="72"/>
      <c r="C100" s="99"/>
      <c r="D100" s="99"/>
      <c r="E100" s="99"/>
      <c r="F100" s="99"/>
      <c r="G100" s="140"/>
      <c r="H100" s="140"/>
      <c r="I100" s="140"/>
      <c r="J100" s="185"/>
      <c r="K100" s="185"/>
      <c r="L100" s="185"/>
      <c r="M100" s="72"/>
    </row>
    <row r="101" spans="2:13">
      <c r="B101" s="50"/>
      <c r="C101" s="102"/>
      <c r="D101" s="102"/>
      <c r="E101" s="102"/>
      <c r="F101" s="102"/>
      <c r="G101" s="133"/>
      <c r="H101" s="133"/>
      <c r="I101" s="133"/>
      <c r="J101" s="178"/>
      <c r="K101" s="178"/>
      <c r="L101" s="178"/>
      <c r="M101" s="90"/>
    </row>
    <row r="102" spans="2:13">
      <c r="B102" s="71" t="s">
        <v>272</v>
      </c>
      <c r="C102" s="100">
        <f>C21</f>
        <v>1000</v>
      </c>
      <c r="D102" s="100">
        <f t="shared" ref="D102:L102" si="29">D21</f>
        <v>2000</v>
      </c>
      <c r="E102" s="100">
        <f t="shared" si="29"/>
        <v>3700</v>
      </c>
      <c r="F102" s="100">
        <f t="shared" si="29"/>
        <v>6700</v>
      </c>
      <c r="G102" s="139">
        <f t="shared" si="29"/>
        <v>200</v>
      </c>
      <c r="H102" s="139">
        <f t="shared" si="29"/>
        <v>4700</v>
      </c>
      <c r="I102" s="139">
        <f t="shared" si="29"/>
        <v>1900</v>
      </c>
      <c r="J102" s="184">
        <f t="shared" si="29"/>
        <v>6100</v>
      </c>
      <c r="K102" s="184">
        <f t="shared" si="29"/>
        <v>5834.5238095238092</v>
      </c>
      <c r="L102" s="184">
        <f t="shared" si="29"/>
        <v>16347.893772893767</v>
      </c>
      <c r="M102" s="71">
        <f>'July-2'!C34</f>
        <v>25149.521581080524</v>
      </c>
    </row>
    <row r="103" spans="2:13">
      <c r="B103" s="130"/>
      <c r="C103" s="132"/>
      <c r="D103" s="132"/>
      <c r="E103" s="132"/>
      <c r="F103" s="132"/>
      <c r="G103" s="137"/>
      <c r="H103" s="137"/>
      <c r="I103" s="137"/>
      <c r="J103" s="182"/>
      <c r="K103" s="182"/>
      <c r="L103" s="182"/>
      <c r="M103" s="91"/>
    </row>
    <row r="104" spans="2:13" s="1" customFormat="1">
      <c r="B104" s="71" t="s">
        <v>273</v>
      </c>
      <c r="C104" s="100">
        <v>0</v>
      </c>
      <c r="D104" s="100">
        <v>0</v>
      </c>
      <c r="E104" s="100">
        <v>0</v>
      </c>
      <c r="F104" s="100">
        <v>0</v>
      </c>
      <c r="G104" s="139">
        <v>0</v>
      </c>
      <c r="H104" s="139">
        <v>0</v>
      </c>
      <c r="I104" s="139">
        <v>0</v>
      </c>
      <c r="J104" s="181">
        <f>'April-2'!D116</f>
        <v>1000</v>
      </c>
      <c r="K104" s="181">
        <f>'May-2'!D112</f>
        <v>1000</v>
      </c>
      <c r="L104" s="181">
        <f>'June-2'!D112</f>
        <v>1000</v>
      </c>
      <c r="M104" s="93">
        <f>'July-2'!K14</f>
        <v>1000</v>
      </c>
    </row>
    <row r="105" spans="2:13" s="1" customFormat="1">
      <c r="B105" s="71"/>
      <c r="C105" s="100"/>
      <c r="D105" s="100"/>
      <c r="E105" s="100"/>
      <c r="F105" s="100"/>
      <c r="G105" s="136"/>
      <c r="H105" s="136"/>
      <c r="I105" s="136"/>
      <c r="J105" s="181"/>
      <c r="K105" s="181"/>
      <c r="L105" s="181"/>
      <c r="M105" s="93"/>
    </row>
    <row r="106" spans="2:13" s="1" customFormat="1" ht="19">
      <c r="B106" s="131" t="s">
        <v>29</v>
      </c>
      <c r="C106" s="100">
        <f>C102+C104</f>
        <v>1000</v>
      </c>
      <c r="D106" s="100">
        <f t="shared" ref="D106:L106" si="30">D102+D104</f>
        <v>2000</v>
      </c>
      <c r="E106" s="100">
        <f t="shared" si="30"/>
        <v>3700</v>
      </c>
      <c r="F106" s="100">
        <f t="shared" si="30"/>
        <v>6700</v>
      </c>
      <c r="G106" s="139">
        <f t="shared" si="30"/>
        <v>200</v>
      </c>
      <c r="H106" s="139">
        <f t="shared" si="30"/>
        <v>4700</v>
      </c>
      <c r="I106" s="139">
        <f t="shared" si="30"/>
        <v>1900</v>
      </c>
      <c r="J106" s="184">
        <f t="shared" si="30"/>
        <v>7100</v>
      </c>
      <c r="K106" s="184">
        <f t="shared" si="30"/>
        <v>6834.5238095238092</v>
      </c>
      <c r="L106" s="184">
        <f t="shared" si="30"/>
        <v>17347.893772893767</v>
      </c>
      <c r="M106" s="71">
        <f t="shared" ref="M106" si="31">M102+M104</f>
        <v>26149.521581080524</v>
      </c>
    </row>
    <row r="107" spans="2:13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  <c r="M107" s="93"/>
    </row>
    <row r="108" spans="2:13" s="1" customFormat="1">
      <c r="B108" s="71" t="s">
        <v>274</v>
      </c>
      <c r="C108" s="100">
        <v>0</v>
      </c>
      <c r="D108" s="100">
        <f>-(D99-C99)</f>
        <v>-1000</v>
      </c>
      <c r="E108" s="100">
        <f t="shared" ref="E108:L108" si="32">-(E99-D99)</f>
        <v>-9000</v>
      </c>
      <c r="F108" s="100">
        <f t="shared" si="32"/>
        <v>-3000</v>
      </c>
      <c r="G108" s="139">
        <f t="shared" si="32"/>
        <v>4500</v>
      </c>
      <c r="H108" s="139">
        <f t="shared" si="32"/>
        <v>-500</v>
      </c>
      <c r="I108" s="139">
        <f t="shared" si="32"/>
        <v>-3000</v>
      </c>
      <c r="J108" s="184">
        <f t="shared" si="32"/>
        <v>-5400</v>
      </c>
      <c r="K108" s="184">
        <f t="shared" si="32"/>
        <v>-6794.5238095238092</v>
      </c>
      <c r="L108" s="184">
        <f t="shared" si="32"/>
        <v>-9387.8937728937744</v>
      </c>
      <c r="M108" s="71">
        <f t="shared" ref="M108" si="33">-(M99-L99)</f>
        <v>-4589.5215810805166</v>
      </c>
    </row>
    <row r="109" spans="2:13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  <c r="M109" s="93"/>
    </row>
    <row r="110" spans="2:13" s="1" customFormat="1" ht="19">
      <c r="B110" s="131" t="s">
        <v>275</v>
      </c>
      <c r="C110" s="100">
        <f>C106+C108</f>
        <v>1000</v>
      </c>
      <c r="D110" s="100">
        <f t="shared" ref="D110:L110" si="34">D106+D108</f>
        <v>1000</v>
      </c>
      <c r="E110" s="100">
        <f t="shared" si="34"/>
        <v>-5300</v>
      </c>
      <c r="F110" s="100">
        <f t="shared" si="34"/>
        <v>3700</v>
      </c>
      <c r="G110" s="139">
        <f t="shared" si="34"/>
        <v>4700</v>
      </c>
      <c r="H110" s="139">
        <f t="shared" si="34"/>
        <v>4200</v>
      </c>
      <c r="I110" s="139">
        <f t="shared" si="34"/>
        <v>-1100</v>
      </c>
      <c r="J110" s="184">
        <f t="shared" si="34"/>
        <v>1700</v>
      </c>
      <c r="K110" s="184">
        <f t="shared" si="34"/>
        <v>40</v>
      </c>
      <c r="L110" s="184">
        <f t="shared" si="34"/>
        <v>7959.9999999999927</v>
      </c>
      <c r="M110" s="71">
        <f t="shared" ref="M110" si="35">M106+M108</f>
        <v>21560.000000000007</v>
      </c>
    </row>
    <row r="111" spans="2:13" s="1" customFormat="1">
      <c r="B111" s="72"/>
      <c r="C111" s="99"/>
      <c r="D111" s="99"/>
      <c r="E111" s="99"/>
      <c r="F111" s="99"/>
      <c r="G111" s="138"/>
      <c r="H111" s="138"/>
      <c r="I111" s="138"/>
      <c r="J111" s="183"/>
      <c r="K111" s="183"/>
      <c r="L111" s="183"/>
      <c r="M111" s="94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6515-E181-1E40-9782-4A6DEF2F9993}">
  <dimension ref="B2:M147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41.83203125" style="1" customWidth="1"/>
    <col min="3" max="3" width="14.83203125" style="1" customWidth="1"/>
    <col min="4" max="4" width="22.5" style="1" customWidth="1"/>
    <col min="5" max="5" width="12" style="1" customWidth="1"/>
    <col min="6" max="6" width="10.1640625" style="1" customWidth="1"/>
    <col min="7" max="7" width="8.83203125" style="2" customWidth="1"/>
    <col min="8" max="8" width="11.1640625" style="1" customWidth="1"/>
    <col min="9" max="9" width="8.5" style="1" customWidth="1"/>
    <col min="10" max="10" width="11.5" style="1" customWidth="1"/>
    <col min="11" max="11" width="6.5" style="1" customWidth="1"/>
    <col min="12" max="12" width="9.83203125" style="1" customWidth="1"/>
    <col min="13" max="13" width="7.5" style="1" customWidth="1"/>
    <col min="14" max="14" width="9" style="1" customWidth="1"/>
    <col min="15" max="16384" width="10.83203125" style="1"/>
  </cols>
  <sheetData>
    <row r="2" spans="2:12" ht="19">
      <c r="C2" s="86"/>
      <c r="D2" s="86"/>
      <c r="F2" s="237" t="s">
        <v>233</v>
      </c>
    </row>
    <row r="3" spans="2:12" ht="19">
      <c r="B3" s="304" t="s">
        <v>115</v>
      </c>
      <c r="C3" s="83" t="s">
        <v>116</v>
      </c>
      <c r="D3" s="83" t="s">
        <v>117</v>
      </c>
      <c r="E3" s="2"/>
      <c r="G3" s="1"/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7" t="s">
        <v>319</v>
      </c>
      <c r="G5" s="1"/>
      <c r="I5" s="10"/>
      <c r="J5" s="9"/>
      <c r="K5" s="1">
        <f>'Development plan Q3'!I9+'Development plan Q3'!I10</f>
        <v>4300</v>
      </c>
      <c r="L5" s="61"/>
    </row>
    <row r="6" spans="2:12">
      <c r="B6" s="71" t="s">
        <v>259</v>
      </c>
      <c r="C6" s="83">
        <v>1</v>
      </c>
      <c r="D6" s="83">
        <f>MAN</f>
        <v>2000</v>
      </c>
      <c r="E6" s="2"/>
      <c r="F6" s="5"/>
      <c r="I6" s="10"/>
      <c r="J6" s="9"/>
      <c r="L6" s="10"/>
    </row>
    <row r="7" spans="2:12">
      <c r="B7" s="71"/>
      <c r="C7" s="83"/>
      <c r="D7" s="83"/>
      <c r="E7" s="2"/>
      <c r="F7" s="177" t="s">
        <v>269</v>
      </c>
      <c r="G7" s="1"/>
      <c r="I7" s="321">
        <v>0.4</v>
      </c>
      <c r="J7" s="9"/>
      <c r="K7" s="1">
        <f>I7*K5</f>
        <v>1720</v>
      </c>
      <c r="L7" s="61"/>
    </row>
    <row r="8" spans="2:12">
      <c r="B8" s="71" t="s">
        <v>35</v>
      </c>
      <c r="C8" s="83">
        <v>1</v>
      </c>
      <c r="D8" s="83">
        <f>ADOP</f>
        <v>1000</v>
      </c>
      <c r="E8" s="2"/>
      <c r="F8" s="5"/>
      <c r="I8" s="10"/>
      <c r="J8" s="9"/>
      <c r="L8" s="10"/>
    </row>
    <row r="9" spans="2:12">
      <c r="B9" s="71"/>
      <c r="C9" s="83"/>
      <c r="D9" s="83"/>
      <c r="E9" s="2"/>
      <c r="F9" s="177" t="s">
        <v>270</v>
      </c>
      <c r="G9" s="1"/>
      <c r="I9" s="10"/>
      <c r="J9" s="9"/>
      <c r="K9" s="1">
        <f>K7+L29-H29</f>
        <v>3220</v>
      </c>
      <c r="L9" s="61"/>
    </row>
    <row r="10" spans="2:12">
      <c r="B10" s="71" t="s">
        <v>65</v>
      </c>
      <c r="C10" s="83">
        <v>3</v>
      </c>
      <c r="D10" s="83">
        <f>MKT</f>
        <v>1300</v>
      </c>
      <c r="E10" s="2"/>
      <c r="F10" s="177"/>
      <c r="G10" s="1"/>
      <c r="I10" s="10"/>
      <c r="J10" s="9"/>
      <c r="L10" s="61"/>
    </row>
    <row r="11" spans="2:12">
      <c r="B11" s="71"/>
      <c r="C11" s="83"/>
      <c r="D11" s="83"/>
      <c r="E11" s="2"/>
      <c r="F11" s="177" t="s">
        <v>266</v>
      </c>
      <c r="G11" s="1"/>
      <c r="I11" s="10"/>
      <c r="J11" s="9"/>
      <c r="K11" s="317">
        <f>K9*'Investment project Q2'!C22</f>
        <v>51520</v>
      </c>
      <c r="L11" s="61"/>
    </row>
    <row r="12" spans="2:12">
      <c r="B12" s="71" t="s">
        <v>260</v>
      </c>
      <c r="C12" s="83">
        <f>'Development plan Q3'!H18</f>
        <v>1</v>
      </c>
      <c r="D12" s="83">
        <f>ING</f>
        <v>1500</v>
      </c>
      <c r="E12" s="2"/>
      <c r="F12" s="177" t="s">
        <v>235</v>
      </c>
      <c r="G12" s="1"/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7" t="s">
        <v>236</v>
      </c>
      <c r="G13" s="1"/>
      <c r="I13" s="10"/>
      <c r="J13" s="9"/>
      <c r="K13" s="1">
        <f>C18*ADOP</f>
        <v>6000</v>
      </c>
      <c r="L13" s="61"/>
    </row>
    <row r="14" spans="2:12">
      <c r="B14" s="71" t="s">
        <v>36</v>
      </c>
      <c r="C14" s="83">
        <f>'Development plan Q3'!H20</f>
        <v>4</v>
      </c>
      <c r="D14" s="83">
        <f>ING</f>
        <v>1500</v>
      </c>
      <c r="E14" s="2"/>
      <c r="F14" s="177" t="s">
        <v>212</v>
      </c>
      <c r="G14" s="1"/>
      <c r="I14" s="10"/>
      <c r="J14" s="9"/>
      <c r="K14" s="11">
        <f>'Investment project Q2'!C18/'Investment project Q2'!G18</f>
        <v>1000</v>
      </c>
      <c r="L14" s="61"/>
    </row>
    <row r="15" spans="2:12">
      <c r="B15" s="71"/>
      <c r="C15" s="83"/>
      <c r="D15" s="83"/>
      <c r="E15" s="2"/>
      <c r="F15" s="177"/>
      <c r="G15" s="1"/>
      <c r="I15" s="10"/>
      <c r="J15" s="9"/>
      <c r="L15" s="10"/>
    </row>
    <row r="16" spans="2:12">
      <c r="B16" s="71" t="s">
        <v>25</v>
      </c>
      <c r="C16" s="83"/>
      <c r="D16" s="83"/>
      <c r="E16" s="2"/>
      <c r="F16" s="9" t="s">
        <v>124</v>
      </c>
      <c r="G16" s="1"/>
      <c r="I16" s="10"/>
      <c r="J16" s="9"/>
      <c r="K16" s="329">
        <f>SUM(K11:K14)</f>
        <v>60020</v>
      </c>
      <c r="L16" s="10"/>
    </row>
    <row r="17" spans="2:13">
      <c r="B17" s="71" t="s">
        <v>261</v>
      </c>
      <c r="C17" s="83">
        <f>'Development plan Q3'!H19</f>
        <v>1</v>
      </c>
      <c r="D17" s="83">
        <f>ING</f>
        <v>1500</v>
      </c>
      <c r="E17" s="2"/>
      <c r="F17" s="5"/>
      <c r="G17" s="1"/>
      <c r="I17" s="10"/>
      <c r="J17" s="9"/>
      <c r="L17" s="10"/>
    </row>
    <row r="18" spans="2:13">
      <c r="B18" s="71" t="s">
        <v>262</v>
      </c>
      <c r="C18" s="83">
        <v>6</v>
      </c>
      <c r="D18" s="83">
        <f>ADOP</f>
        <v>1000</v>
      </c>
      <c r="E18" s="2"/>
      <c r="F18" s="192" t="s">
        <v>237</v>
      </c>
      <c r="G18" s="1"/>
      <c r="I18" s="10"/>
      <c r="J18" s="9"/>
      <c r="K18" s="318">
        <f>K16/K9</f>
        <v>18.63975155279503</v>
      </c>
      <c r="L18" s="19" t="s">
        <v>14</v>
      </c>
    </row>
    <row r="19" spans="2:13">
      <c r="B19" s="72"/>
      <c r="C19" s="72"/>
      <c r="D19" s="72"/>
      <c r="F19" s="7"/>
      <c r="G19" s="25"/>
      <c r="H19" s="11"/>
      <c r="I19" s="8"/>
      <c r="J19" s="7"/>
      <c r="K19" s="11"/>
      <c r="L19" s="8"/>
    </row>
    <row r="22" spans="2:13" ht="19">
      <c r="B22" s="12" t="s">
        <v>64</v>
      </c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C24" s="1">
        <f>F24*H24+J24*L24</f>
        <v>84000</v>
      </c>
      <c r="F24" s="9">
        <f>'Development plan Q3'!H9</f>
        <v>1800</v>
      </c>
      <c r="G24" s="2" t="s">
        <v>70</v>
      </c>
      <c r="H24" s="1">
        <f>PVB2C</f>
        <v>30</v>
      </c>
      <c r="I24" s="349" t="s">
        <v>71</v>
      </c>
      <c r="J24" s="9">
        <f>'Development plan Q3'!H10</f>
        <v>1200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I25" s="349"/>
      <c r="J25" s="9"/>
      <c r="K25" s="2"/>
      <c r="M25" s="349"/>
    </row>
    <row r="26" spans="2:13">
      <c r="B26" s="1" t="s">
        <v>66</v>
      </c>
      <c r="C26" s="33">
        <f>-L34</f>
        <v>-55191.566492690647</v>
      </c>
      <c r="F26" s="7">
        <f>F24</f>
        <v>1800</v>
      </c>
      <c r="G26" s="25" t="s">
        <v>70</v>
      </c>
      <c r="H26" s="337">
        <f>L43</f>
        <v>18.397188830896884</v>
      </c>
      <c r="I26" s="350" t="s">
        <v>71</v>
      </c>
      <c r="J26" s="7">
        <f>J24</f>
        <v>1200</v>
      </c>
      <c r="K26" s="25" t="s">
        <v>70</v>
      </c>
      <c r="L26" s="337">
        <f>L43</f>
        <v>18.397188830896884</v>
      </c>
      <c r="M26" s="350" t="s">
        <v>71</v>
      </c>
    </row>
    <row r="27" spans="2:13">
      <c r="F27" s="2"/>
      <c r="G27" s="1"/>
    </row>
    <row r="28" spans="2:13">
      <c r="B28" s="1" t="s">
        <v>67</v>
      </c>
      <c r="C28" s="1">
        <f>C24+C26</f>
        <v>28808.433507309353</v>
      </c>
      <c r="F28" s="14"/>
      <c r="G28" s="15"/>
      <c r="H28" s="15"/>
      <c r="I28" s="352" t="s">
        <v>111</v>
      </c>
      <c r="J28" s="15"/>
      <c r="K28" s="15"/>
      <c r="L28" s="17"/>
    </row>
    <row r="29" spans="2:13">
      <c r="F29" s="5" t="s">
        <v>94</v>
      </c>
      <c r="G29" s="1"/>
      <c r="H29" s="1">
        <f>'July-2'!L31</f>
        <v>1500</v>
      </c>
      <c r="J29" s="1" t="s">
        <v>65</v>
      </c>
      <c r="L29" s="10">
        <f>F24+J24</f>
        <v>3000</v>
      </c>
    </row>
    <row r="30" spans="2:13">
      <c r="B30" s="1" t="s">
        <v>99</v>
      </c>
      <c r="C30" s="1">
        <f>-(C6*MAN+C8*ADOP)</f>
        <v>-3000</v>
      </c>
      <c r="F30" s="13" t="s">
        <v>25</v>
      </c>
      <c r="G30" s="11"/>
      <c r="H30" s="11">
        <f>L29+L30-H29</f>
        <v>3220</v>
      </c>
      <c r="I30" s="11"/>
      <c r="J30" s="11" t="s">
        <v>90</v>
      </c>
      <c r="K30" s="11"/>
      <c r="L30" s="8">
        <f>K7</f>
        <v>1720</v>
      </c>
    </row>
    <row r="31" spans="2:13">
      <c r="B31" s="1" t="s">
        <v>100</v>
      </c>
      <c r="C31" s="1">
        <f>-C10*MKT</f>
        <v>-3900</v>
      </c>
      <c r="F31" s="14" t="s">
        <v>6</v>
      </c>
      <c r="G31" s="15"/>
      <c r="H31" s="15">
        <f>H29+H30</f>
        <v>4720</v>
      </c>
      <c r="I31" s="15"/>
      <c r="J31" s="16" t="s">
        <v>6</v>
      </c>
      <c r="K31" s="15"/>
      <c r="L31" s="17">
        <f>L29+L30</f>
        <v>4720</v>
      </c>
    </row>
    <row r="32" spans="2:13">
      <c r="B32" s="31" t="s">
        <v>310</v>
      </c>
      <c r="C32" s="11">
        <f>-C12*ING</f>
        <v>-1500</v>
      </c>
      <c r="F32" s="2"/>
      <c r="G32" s="1"/>
      <c r="J32" s="2"/>
    </row>
    <row r="33" spans="2:12">
      <c r="B33" s="31"/>
      <c r="F33" s="14"/>
      <c r="G33" s="15"/>
      <c r="H33" s="15"/>
      <c r="I33" s="24" t="s">
        <v>113</v>
      </c>
      <c r="J33" s="15"/>
      <c r="K33" s="15"/>
      <c r="L33" s="17"/>
    </row>
    <row r="34" spans="2:12">
      <c r="B34" s="1" t="s">
        <v>250</v>
      </c>
      <c r="C34" s="1">
        <f>C28+C31+C30+C32</f>
        <v>20408.433507309353</v>
      </c>
      <c r="F34" s="5" t="s">
        <v>94</v>
      </c>
      <c r="G34" s="1"/>
      <c r="H34" s="1">
        <f>'July-2'!L36</f>
        <v>27231.9391634981</v>
      </c>
      <c r="I34" s="334">
        <f>'July-2'!K36</f>
        <v>18.154626108998734</v>
      </c>
      <c r="J34" s="1" t="s">
        <v>120</v>
      </c>
      <c r="K34" s="336">
        <f>L43</f>
        <v>18.397188830896884</v>
      </c>
      <c r="L34" s="32">
        <f>H34+H35-L35</f>
        <v>55191.566492690647</v>
      </c>
    </row>
    <row r="35" spans="2:12">
      <c r="F35" s="129" t="s">
        <v>119</v>
      </c>
      <c r="G35" s="11"/>
      <c r="H35" s="328">
        <f>K16</f>
        <v>60020</v>
      </c>
      <c r="I35" s="335">
        <f>K18</f>
        <v>18.63975155279503</v>
      </c>
      <c r="J35" s="11" t="s">
        <v>90</v>
      </c>
      <c r="K35" s="335">
        <f>K18</f>
        <v>18.63975155279503</v>
      </c>
      <c r="L35" s="8">
        <f>L30*K18</f>
        <v>32060.37267080745</v>
      </c>
    </row>
    <row r="36" spans="2:12">
      <c r="B36" s="1" t="s">
        <v>238</v>
      </c>
      <c r="C36" s="1">
        <f>-'Investment project Q2'!C82</f>
        <v>-240</v>
      </c>
      <c r="F36" s="14" t="s">
        <v>6</v>
      </c>
      <c r="G36" s="15"/>
      <c r="H36" s="15">
        <f>H34+H35</f>
        <v>87251.9391634981</v>
      </c>
      <c r="I36" s="15"/>
      <c r="J36" s="16" t="s">
        <v>6</v>
      </c>
      <c r="K36" s="15"/>
      <c r="L36" s="17">
        <f>L34+L35</f>
        <v>87251.9391634981</v>
      </c>
    </row>
    <row r="37" spans="2:12">
      <c r="G37" s="1"/>
    </row>
    <row r="38" spans="2:12">
      <c r="B38" s="1" t="s">
        <v>239</v>
      </c>
      <c r="C38" s="1">
        <f>C34+C36</f>
        <v>20168.433507309353</v>
      </c>
      <c r="F38" s="29"/>
      <c r="G38" s="15"/>
      <c r="H38" s="15"/>
      <c r="I38" s="24" t="s">
        <v>114</v>
      </c>
      <c r="J38" s="15"/>
      <c r="K38" s="15"/>
      <c r="L38" s="17"/>
    </row>
    <row r="39" spans="2:12">
      <c r="F39" s="9"/>
      <c r="G39" s="1"/>
      <c r="L39" s="10"/>
    </row>
    <row r="40" spans="2:12">
      <c r="B40" s="1" t="s">
        <v>240</v>
      </c>
      <c r="C40" s="11">
        <f>-C38*C84</f>
        <v>-4033.6867014618711</v>
      </c>
      <c r="F40" s="177" t="s">
        <v>121</v>
      </c>
      <c r="G40" s="1"/>
      <c r="H40" s="2">
        <f>H29</f>
        <v>1500</v>
      </c>
      <c r="I40" s="1" t="s">
        <v>46</v>
      </c>
      <c r="J40" s="338">
        <f>I34</f>
        <v>18.154626108998734</v>
      </c>
      <c r="K40" s="2" t="s">
        <v>23</v>
      </c>
      <c r="L40" s="6">
        <f>H40*J40</f>
        <v>27231.9391634981</v>
      </c>
    </row>
    <row r="41" spans="2:12" ht="17" thickBot="1">
      <c r="F41" s="177" t="s">
        <v>122</v>
      </c>
      <c r="G41" s="1"/>
      <c r="H41" s="342">
        <f>L29-H29</f>
        <v>1500</v>
      </c>
      <c r="I41" s="1" t="s">
        <v>46</v>
      </c>
      <c r="J41" s="341">
        <f>I35</f>
        <v>18.63975155279503</v>
      </c>
      <c r="K41" s="2" t="s">
        <v>23</v>
      </c>
      <c r="L41" s="6">
        <f>H41*J41</f>
        <v>27959.627329192546</v>
      </c>
    </row>
    <row r="42" spans="2:12">
      <c r="B42" s="1" t="s">
        <v>241</v>
      </c>
      <c r="C42" s="1">
        <f>C38+C40</f>
        <v>16134.746805847482</v>
      </c>
      <c r="F42" s="5" t="s">
        <v>123</v>
      </c>
      <c r="G42" s="1"/>
      <c r="H42" s="2">
        <f>H40+H41</f>
        <v>3000</v>
      </c>
      <c r="J42" s="36" t="s">
        <v>124</v>
      </c>
      <c r="K42" s="2" t="s">
        <v>23</v>
      </c>
      <c r="L42" s="340">
        <f>L40+L41</f>
        <v>55191.566492690647</v>
      </c>
    </row>
    <row r="43" spans="2:12">
      <c r="F43" s="13"/>
      <c r="G43" s="11"/>
      <c r="H43" s="11"/>
      <c r="I43" s="11"/>
      <c r="J43" s="112" t="s">
        <v>117</v>
      </c>
      <c r="K43" s="25" t="s">
        <v>23</v>
      </c>
      <c r="L43" s="339">
        <f>L42/L29</f>
        <v>18.397188830896884</v>
      </c>
    </row>
    <row r="44" spans="2:12">
      <c r="G44" s="1"/>
    </row>
    <row r="45" spans="2:12" ht="19">
      <c r="B45" s="12" t="s">
        <v>72</v>
      </c>
      <c r="G45" s="1"/>
    </row>
    <row r="46" spans="2:12">
      <c r="F46" s="14"/>
      <c r="G46" s="15"/>
      <c r="H46" s="15"/>
      <c r="I46" s="24" t="s">
        <v>89</v>
      </c>
      <c r="J46" s="15"/>
      <c r="K46" s="15"/>
      <c r="L46" s="17"/>
    </row>
    <row r="47" spans="2:12">
      <c r="B47" s="1" t="s">
        <v>73</v>
      </c>
      <c r="C47" s="20">
        <f>L47</f>
        <v>96500</v>
      </c>
      <c r="F47" s="5" t="s">
        <v>94</v>
      </c>
      <c r="G47" s="1"/>
      <c r="H47" s="1">
        <f>'July-2'!L48</f>
        <v>42500</v>
      </c>
      <c r="J47" s="1" t="s">
        <v>95</v>
      </c>
      <c r="L47" s="21">
        <f>H47+H48-L48</f>
        <v>96500</v>
      </c>
    </row>
    <row r="48" spans="2:12">
      <c r="B48" s="1" t="s">
        <v>242</v>
      </c>
      <c r="C48" s="1">
        <v>0</v>
      </c>
      <c r="F48" s="13" t="s">
        <v>65</v>
      </c>
      <c r="G48" s="11"/>
      <c r="H48" s="11">
        <f>C24</f>
        <v>84000</v>
      </c>
      <c r="I48" s="11"/>
      <c r="J48" s="11" t="s">
        <v>90</v>
      </c>
      <c r="K48" s="11"/>
      <c r="L48" s="8">
        <f>J24*L24</f>
        <v>30000</v>
      </c>
    </row>
    <row r="49" spans="2:12">
      <c r="F49" s="14" t="s">
        <v>6</v>
      </c>
      <c r="G49" s="15"/>
      <c r="H49" s="15">
        <f>H47+H48</f>
        <v>126500</v>
      </c>
      <c r="I49" s="15"/>
      <c r="J49" s="16" t="s">
        <v>6</v>
      </c>
      <c r="K49" s="15"/>
      <c r="L49" s="17">
        <f>L47+L48</f>
        <v>126500</v>
      </c>
    </row>
    <row r="50" spans="2:12">
      <c r="B50" s="26" t="s">
        <v>281</v>
      </c>
      <c r="C50" s="26">
        <f>C47+C48</f>
        <v>96500</v>
      </c>
      <c r="G50" s="1"/>
    </row>
    <row r="51" spans="2:12">
      <c r="G51" s="1"/>
    </row>
    <row r="52" spans="2:12">
      <c r="G52" s="1"/>
    </row>
    <row r="53" spans="2:12">
      <c r="F53" s="14"/>
      <c r="G53" s="15"/>
      <c r="H53" s="15"/>
      <c r="I53" s="24" t="s">
        <v>86</v>
      </c>
      <c r="J53" s="15"/>
      <c r="K53" s="15"/>
      <c r="L53" s="17"/>
    </row>
    <row r="54" spans="2:12">
      <c r="B54" s="1" t="s">
        <v>98</v>
      </c>
      <c r="C54" s="22">
        <f>-L54</f>
        <v>-57320</v>
      </c>
      <c r="F54" s="5" t="s">
        <v>94</v>
      </c>
      <c r="G54" s="1"/>
      <c r="H54" s="1">
        <f>'July-2'!L54</f>
        <v>31560</v>
      </c>
      <c r="J54" s="1" t="s">
        <v>96</v>
      </c>
      <c r="L54" s="23">
        <f>H54+H55-L55</f>
        <v>57320</v>
      </c>
    </row>
    <row r="55" spans="2:12">
      <c r="B55" s="1" t="s">
        <v>11</v>
      </c>
      <c r="C55" s="1">
        <f>C30</f>
        <v>-3000</v>
      </c>
      <c r="F55" s="13" t="s">
        <v>97</v>
      </c>
      <c r="G55" s="11"/>
      <c r="H55" s="34">
        <f>K11</f>
        <v>51520</v>
      </c>
      <c r="I55" s="11"/>
      <c r="J55" s="11" t="s">
        <v>90</v>
      </c>
      <c r="K55" s="11"/>
      <c r="L55" s="8">
        <f>K58*H55</f>
        <v>25760</v>
      </c>
    </row>
    <row r="56" spans="2:12">
      <c r="B56" s="1" t="s">
        <v>125</v>
      </c>
      <c r="C56" s="1">
        <f>C31</f>
        <v>-3900</v>
      </c>
      <c r="F56" s="14" t="s">
        <v>6</v>
      </c>
      <c r="G56" s="15"/>
      <c r="H56" s="15">
        <f>H54+H55</f>
        <v>83080</v>
      </c>
      <c r="I56" s="15"/>
      <c r="J56" s="16" t="s">
        <v>6</v>
      </c>
      <c r="K56" s="15"/>
      <c r="L56" s="17">
        <f>L54+L55</f>
        <v>83080</v>
      </c>
    </row>
    <row r="57" spans="2:12">
      <c r="B57" s="1" t="s">
        <v>13</v>
      </c>
      <c r="C57" s="1">
        <f>C32</f>
        <v>-1500</v>
      </c>
      <c r="F57" s="2"/>
      <c r="G57" s="1"/>
    </row>
    <row r="58" spans="2:12">
      <c r="B58" s="1" t="s">
        <v>243</v>
      </c>
      <c r="C58" s="1">
        <f>-K12</f>
        <v>-1500</v>
      </c>
      <c r="G58" s="1"/>
      <c r="J58" s="29" t="s">
        <v>92</v>
      </c>
      <c r="K58" s="40">
        <v>0.5</v>
      </c>
      <c r="L58" s="17" t="s">
        <v>93</v>
      </c>
    </row>
    <row r="59" spans="2:12">
      <c r="B59" s="1" t="s">
        <v>252</v>
      </c>
      <c r="C59" s="1">
        <f>-K13</f>
        <v>-6000</v>
      </c>
      <c r="G59" s="1"/>
    </row>
    <row r="60" spans="2:12">
      <c r="B60" s="1" t="s">
        <v>158</v>
      </c>
      <c r="C60" s="1">
        <v>0</v>
      </c>
      <c r="G60" s="1"/>
    </row>
    <row r="61" spans="2:12">
      <c r="B61" s="1" t="s">
        <v>159</v>
      </c>
      <c r="C61" s="1">
        <v>0</v>
      </c>
      <c r="G61" s="1"/>
    </row>
    <row r="62" spans="2:12">
      <c r="B62" s="1" t="s">
        <v>282</v>
      </c>
      <c r="C62" s="1">
        <f>-'Development plan Q3'!H27</f>
        <v>-6000</v>
      </c>
      <c r="G62" s="1"/>
    </row>
    <row r="63" spans="2:12">
      <c r="B63" s="1" t="s">
        <v>312</v>
      </c>
      <c r="C63" s="1">
        <f>C133</f>
        <v>-18000</v>
      </c>
      <c r="G63" s="1"/>
    </row>
    <row r="64" spans="2:12">
      <c r="B64" s="1" t="s">
        <v>245</v>
      </c>
      <c r="C64" s="1">
        <f>C36</f>
        <v>-240</v>
      </c>
    </row>
    <row r="65" spans="2:7">
      <c r="G65" s="1"/>
    </row>
    <row r="66" spans="2:7">
      <c r="B66" s="26" t="s">
        <v>76</v>
      </c>
      <c r="C66" s="26">
        <f>SUM(C54:C64)</f>
        <v>-97460</v>
      </c>
      <c r="G66" s="1"/>
    </row>
    <row r="67" spans="2:7">
      <c r="G67" s="1"/>
    </row>
    <row r="68" spans="2:7" ht="19">
      <c r="B68" s="304" t="s">
        <v>178</v>
      </c>
      <c r="G68" s="1"/>
    </row>
    <row r="69" spans="2:7">
      <c r="G69" s="1"/>
    </row>
    <row r="70" spans="2:7">
      <c r="B70" s="1" t="s">
        <v>281</v>
      </c>
      <c r="C70" s="1">
        <f>C50</f>
        <v>96500</v>
      </c>
      <c r="G70" s="1"/>
    </row>
    <row r="71" spans="2:7">
      <c r="G71" s="1"/>
    </row>
    <row r="72" spans="2:7">
      <c r="B72" s="1" t="s">
        <v>76</v>
      </c>
      <c r="C72" s="1">
        <f>C66</f>
        <v>-97460</v>
      </c>
      <c r="G72" s="1"/>
    </row>
    <row r="73" spans="2:7">
      <c r="G73" s="1"/>
    </row>
    <row r="74" spans="2:7">
      <c r="B74" s="26" t="s">
        <v>77</v>
      </c>
      <c r="C74" s="26">
        <f>C50+C66</f>
        <v>-960</v>
      </c>
      <c r="G74" s="1"/>
    </row>
    <row r="76" spans="2:7">
      <c r="B76" s="1" t="s">
        <v>78</v>
      </c>
      <c r="C76" s="1">
        <f>'July-2'!C109</f>
        <v>27320</v>
      </c>
    </row>
    <row r="78" spans="2:7">
      <c r="B78" s="1" t="s">
        <v>79</v>
      </c>
      <c r="C78" s="232">
        <f>C74+C76</f>
        <v>26360</v>
      </c>
      <c r="G78" s="1"/>
    </row>
    <row r="79" spans="2:7">
      <c r="G79" s="1"/>
    </row>
    <row r="80" spans="2:7">
      <c r="G80" s="1"/>
    </row>
    <row r="81" spans="2:13">
      <c r="G81" s="1"/>
    </row>
    <row r="82" spans="2:13" ht="19">
      <c r="B82" s="12" t="s">
        <v>139</v>
      </c>
      <c r="C82" s="229"/>
      <c r="D82" s="12" t="s">
        <v>129</v>
      </c>
      <c r="E82" s="306"/>
      <c r="G82" s="1"/>
    </row>
    <row r="83" spans="2:13" ht="19">
      <c r="D83" s="12"/>
      <c r="E83" s="12"/>
    </row>
    <row r="84" spans="2:13">
      <c r="B84" s="31" t="s">
        <v>165</v>
      </c>
      <c r="C84" s="128">
        <f>TIS</f>
        <v>0.2</v>
      </c>
      <c r="D84" s="1" t="s">
        <v>130</v>
      </c>
      <c r="E84" s="305"/>
      <c r="F84" s="2">
        <f>C90</f>
        <v>16134.746805847482</v>
      </c>
    </row>
    <row r="85" spans="2:13">
      <c r="C85" s="2"/>
      <c r="E85" s="305"/>
    </row>
    <row r="86" spans="2:13">
      <c r="B86" s="1" t="s">
        <v>166</v>
      </c>
      <c r="C86" s="2">
        <f>C38</f>
        <v>20168.433507309353</v>
      </c>
      <c r="D86" s="1" t="s">
        <v>167</v>
      </c>
      <c r="E86" s="31"/>
      <c r="F86" s="128">
        <v>0</v>
      </c>
      <c r="G86" s="1"/>
    </row>
    <row r="87" spans="2:13">
      <c r="C87" s="2"/>
      <c r="F87" s="2"/>
      <c r="G87" s="1"/>
    </row>
    <row r="88" spans="2:13">
      <c r="B88" s="1" t="s">
        <v>141</v>
      </c>
      <c r="C88" s="2">
        <f>-C86*C84</f>
        <v>-4033.6867014618711</v>
      </c>
      <c r="D88" s="1" t="s">
        <v>131</v>
      </c>
      <c r="F88" s="302">
        <f>C90*F86</f>
        <v>0</v>
      </c>
      <c r="G88" s="1"/>
    </row>
    <row r="89" spans="2:13">
      <c r="C89" s="2"/>
      <c r="F89" s="2"/>
      <c r="G89" s="1"/>
    </row>
    <row r="90" spans="2:13">
      <c r="B90" s="1" t="s">
        <v>167</v>
      </c>
      <c r="C90" s="2">
        <f>C86+C88</f>
        <v>16134.746805847482</v>
      </c>
      <c r="D90" s="1" t="s">
        <v>185</v>
      </c>
      <c r="F90" s="303">
        <f>C90-F88</f>
        <v>16134.746805847482</v>
      </c>
      <c r="G90" s="1"/>
    </row>
    <row r="91" spans="2:13">
      <c r="G91" s="1"/>
    </row>
    <row r="92" spans="2:13" s="2" customFormat="1">
      <c r="B92" s="1"/>
      <c r="C92" s="1"/>
      <c r="D92" s="1"/>
      <c r="E92" s="1"/>
      <c r="F92" s="1"/>
      <c r="H92" s="1"/>
      <c r="I92" s="1"/>
      <c r="J92" s="1"/>
      <c r="K92" s="1"/>
      <c r="L92" s="1"/>
      <c r="M92" s="1"/>
    </row>
    <row r="93" spans="2:13" s="2" customFormat="1" ht="21">
      <c r="B93" s="231" t="s">
        <v>80</v>
      </c>
      <c r="C93" s="1"/>
      <c r="D93" s="12"/>
      <c r="E93" s="12"/>
      <c r="F93" s="1"/>
      <c r="H93" s="1"/>
      <c r="I93" s="1"/>
      <c r="J93" s="1"/>
      <c r="K93" s="1"/>
      <c r="L93" s="1"/>
      <c r="M93" s="1"/>
    </row>
    <row r="94" spans="2:13" s="2" customFormat="1">
      <c r="B94" s="1"/>
      <c r="C94" s="1"/>
      <c r="D94" s="1"/>
      <c r="E94" s="1"/>
      <c r="F94" s="1"/>
      <c r="H94" s="1"/>
      <c r="I94" s="1"/>
      <c r="J94" s="1"/>
      <c r="K94" s="1"/>
      <c r="L94" s="1"/>
      <c r="M94" s="1"/>
    </row>
    <row r="95" spans="2:13" s="2" customFormat="1" ht="11" customHeight="1">
      <c r="B95" s="3"/>
      <c r="C95" s="4"/>
      <c r="D95" s="3"/>
      <c r="E95" s="48"/>
      <c r="F95" s="4"/>
      <c r="H95" s="1"/>
      <c r="I95" s="1"/>
      <c r="J95" s="1"/>
      <c r="K95" s="1"/>
      <c r="L95" s="1"/>
      <c r="M95" s="1"/>
    </row>
    <row r="96" spans="2:13" s="2" customFormat="1" ht="19">
      <c r="B96" s="227" t="s">
        <v>60</v>
      </c>
      <c r="C96" s="228"/>
      <c r="D96" s="227" t="s">
        <v>84</v>
      </c>
      <c r="E96" s="226"/>
      <c r="F96" s="6"/>
      <c r="H96" s="1"/>
      <c r="I96" s="1"/>
      <c r="J96" s="1"/>
      <c r="K96" s="1"/>
      <c r="L96" s="1"/>
      <c r="M96" s="1"/>
    </row>
    <row r="97" spans="2:13" s="2" customFormat="1" ht="11" customHeight="1">
      <c r="B97" s="7"/>
      <c r="C97" s="8"/>
      <c r="D97" s="7"/>
      <c r="E97" s="11"/>
      <c r="F97" s="8"/>
      <c r="G97" s="30"/>
      <c r="H97" s="1"/>
      <c r="J97" s="31"/>
      <c r="K97" s="1"/>
      <c r="L97" s="1"/>
      <c r="M97" s="1"/>
    </row>
    <row r="98" spans="2:13" s="2" customFormat="1">
      <c r="B98" s="3"/>
      <c r="C98" s="4"/>
      <c r="D98" s="3"/>
      <c r="E98" s="48"/>
      <c r="F98" s="4"/>
      <c r="G98" s="115"/>
      <c r="H98" s="116" t="s">
        <v>90</v>
      </c>
      <c r="I98" s="116"/>
      <c r="J98" s="117"/>
      <c r="K98" s="1"/>
      <c r="L98" s="1"/>
      <c r="M98" s="1"/>
    </row>
    <row r="99" spans="2:13" s="2" customFormat="1">
      <c r="B99" s="9" t="s">
        <v>248</v>
      </c>
      <c r="C99" s="122">
        <f>'Investment project Q2'!C18</f>
        <v>60000</v>
      </c>
      <c r="D99" s="9" t="s">
        <v>62</v>
      </c>
      <c r="E99" s="1"/>
      <c r="F99" s="10">
        <f>NA*PAR</f>
        <v>10000</v>
      </c>
      <c r="G99" s="5"/>
      <c r="H99" s="31" t="s">
        <v>292</v>
      </c>
      <c r="J99" s="6" t="s">
        <v>280</v>
      </c>
      <c r="K99" s="1"/>
      <c r="L99" s="1"/>
      <c r="M99" s="1"/>
    </row>
    <row r="100" spans="2:13" s="2" customFormat="1">
      <c r="B100" s="9" t="s">
        <v>271</v>
      </c>
      <c r="C100" s="123">
        <f>-K14+'July-2'!C100</f>
        <v>-5000</v>
      </c>
      <c r="D100" s="9" t="s">
        <v>85</v>
      </c>
      <c r="E100" s="1"/>
      <c r="F100" s="43">
        <f>H100+J100</f>
        <v>72272.298136645957</v>
      </c>
      <c r="G100" s="13" t="s">
        <v>23</v>
      </c>
      <c r="H100" s="11">
        <f>'July-2'!E99</f>
        <v>56137.55133079848</v>
      </c>
      <c r="I100" s="11"/>
      <c r="J100" s="118">
        <f>F90</f>
        <v>16134.746805847482</v>
      </c>
      <c r="K100" s="1"/>
      <c r="L100" s="1"/>
      <c r="M100" s="1"/>
    </row>
    <row r="101" spans="2:13" s="2" customFormat="1">
      <c r="B101" s="9"/>
      <c r="C101" s="122"/>
      <c r="D101" s="9"/>
      <c r="E101" s="1"/>
      <c r="F101" s="10"/>
      <c r="H101" s="1"/>
      <c r="I101" s="1"/>
      <c r="J101" s="1"/>
      <c r="K101" s="1"/>
      <c r="L101" s="1"/>
      <c r="M101" s="1"/>
    </row>
    <row r="102" spans="2:13" s="2" customFormat="1">
      <c r="B102" s="9" t="s">
        <v>247</v>
      </c>
      <c r="C102" s="122">
        <f>C99+C100</f>
        <v>55000</v>
      </c>
      <c r="D102" s="9" t="s">
        <v>82</v>
      </c>
      <c r="E102" s="1"/>
      <c r="F102" s="10">
        <f>F99+F100</f>
        <v>82272.298136645957</v>
      </c>
      <c r="H102" s="1"/>
      <c r="I102" s="1"/>
      <c r="J102" s="1"/>
      <c r="K102" s="1"/>
      <c r="L102" s="1"/>
      <c r="M102" s="1"/>
    </row>
    <row r="103" spans="2:13" s="2" customFormat="1">
      <c r="B103" s="9"/>
      <c r="C103" s="122"/>
      <c r="D103" s="9"/>
      <c r="E103" s="1"/>
      <c r="F103" s="10"/>
      <c r="H103" s="1"/>
      <c r="I103" s="1"/>
      <c r="J103" s="1"/>
      <c r="K103" s="1"/>
      <c r="L103" s="1"/>
      <c r="M103" s="1"/>
    </row>
    <row r="104" spans="2:13" s="2" customFormat="1">
      <c r="B104" s="177" t="s">
        <v>285</v>
      </c>
      <c r="C104" s="122">
        <f>-C62+'July-2'!C104</f>
        <v>10500</v>
      </c>
      <c r="D104" s="9"/>
      <c r="E104" s="1"/>
      <c r="F104" s="10"/>
      <c r="H104" s="1"/>
      <c r="I104" s="1"/>
      <c r="J104" s="1"/>
      <c r="K104" s="1"/>
      <c r="L104" s="1"/>
      <c r="M104" s="1"/>
    </row>
    <row r="105" spans="2:13" s="2" customFormat="1">
      <c r="B105" s="5"/>
      <c r="C105" s="6"/>
      <c r="D105" s="9" t="s">
        <v>229</v>
      </c>
      <c r="E105" s="1"/>
      <c r="F105" s="10">
        <f>'April-2'!E98</f>
        <v>48000</v>
      </c>
      <c r="H105" s="1"/>
      <c r="I105" s="1"/>
      <c r="J105" s="1"/>
      <c r="K105" s="1"/>
      <c r="L105" s="1"/>
      <c r="M105" s="1"/>
    </row>
    <row r="106" spans="2:13" s="2" customFormat="1">
      <c r="B106" s="192" t="s">
        <v>288</v>
      </c>
      <c r="C106" s="233">
        <f>C102+C104</f>
        <v>65500</v>
      </c>
      <c r="D106" s="9"/>
      <c r="E106" s="1"/>
      <c r="F106" s="10"/>
      <c r="H106" s="1"/>
      <c r="I106" s="1"/>
      <c r="J106" s="1"/>
      <c r="K106" s="1"/>
      <c r="L106" s="1"/>
      <c r="M106" s="1"/>
    </row>
    <row r="107" spans="2:13" s="2" customFormat="1">
      <c r="B107" s="9"/>
      <c r="C107" s="122"/>
      <c r="D107" s="9"/>
      <c r="E107" s="1"/>
      <c r="F107" s="10"/>
      <c r="H107" s="1"/>
      <c r="I107" s="1"/>
      <c r="J107" s="1"/>
      <c r="K107" s="1"/>
      <c r="L107" s="1"/>
      <c r="M107" s="1"/>
    </row>
    <row r="108" spans="2:13" s="2" customFormat="1">
      <c r="B108" s="9" t="s">
        <v>127</v>
      </c>
      <c r="C108" s="10">
        <f>L35</f>
        <v>32060.37267080745</v>
      </c>
      <c r="D108" s="9" t="s">
        <v>135</v>
      </c>
      <c r="E108" s="1"/>
      <c r="F108" s="41">
        <f>'July-2'!E106+'August-2'!C61+F88</f>
        <v>0</v>
      </c>
      <c r="H108" s="1"/>
      <c r="I108" s="1"/>
      <c r="J108" s="1"/>
      <c r="K108" s="1"/>
      <c r="L108" s="1"/>
      <c r="M108" s="1"/>
    </row>
    <row r="109" spans="2:13" s="2" customFormat="1">
      <c r="B109" s="9" t="s">
        <v>128</v>
      </c>
      <c r="C109" s="10">
        <f>L48</f>
        <v>30000</v>
      </c>
      <c r="D109" s="9" t="s">
        <v>86</v>
      </c>
      <c r="E109" s="1"/>
      <c r="F109" s="10">
        <f>L55</f>
        <v>25760</v>
      </c>
      <c r="H109" s="1"/>
      <c r="I109" s="1"/>
      <c r="J109" s="1"/>
      <c r="K109" s="1"/>
      <c r="L109" s="1"/>
      <c r="M109" s="1"/>
    </row>
    <row r="110" spans="2:13" s="2" customFormat="1">
      <c r="B110" s="9" t="s">
        <v>289</v>
      </c>
      <c r="C110" s="8">
        <f>-C133</f>
        <v>18000</v>
      </c>
      <c r="D110" s="9" t="s">
        <v>145</v>
      </c>
      <c r="E110" s="1"/>
      <c r="F110" s="8">
        <f>'July-2'!E108-'August-2'!C88+'August-2'!C60</f>
        <v>15888.074534161491</v>
      </c>
      <c r="H110" s="1"/>
      <c r="I110" s="1"/>
      <c r="J110" s="1"/>
      <c r="K110" s="1"/>
      <c r="L110" s="1"/>
      <c r="M110" s="1"/>
    </row>
    <row r="111" spans="2:13" s="2" customFormat="1">
      <c r="B111" s="9"/>
      <c r="C111" s="10"/>
      <c r="D111" s="1"/>
      <c r="E111" s="1"/>
      <c r="F111" s="10"/>
      <c r="H111" s="1"/>
      <c r="I111" s="1"/>
      <c r="J111" s="1"/>
      <c r="K111" s="1"/>
      <c r="L111" s="1"/>
      <c r="M111" s="1"/>
    </row>
    <row r="112" spans="2:13" s="2" customFormat="1">
      <c r="B112" s="18" t="s">
        <v>290</v>
      </c>
      <c r="C112" s="19">
        <f>SUM(C108:C110)</f>
        <v>80060.372670807454</v>
      </c>
      <c r="D112" s="26" t="s">
        <v>293</v>
      </c>
      <c r="E112" s="26"/>
      <c r="F112" s="19">
        <f>SUM(F108:F110)</f>
        <v>41648.074534161489</v>
      </c>
      <c r="H112" s="1"/>
      <c r="I112" s="1"/>
      <c r="J112" s="1"/>
      <c r="K112" s="1"/>
      <c r="L112" s="1"/>
      <c r="M112" s="1"/>
    </row>
    <row r="113" spans="2:13" s="2" customFormat="1">
      <c r="B113" s="9"/>
      <c r="C113" s="10"/>
      <c r="D113" s="1"/>
      <c r="E113" s="1"/>
      <c r="F113" s="10"/>
      <c r="H113" s="1"/>
      <c r="I113" s="1" t="s">
        <v>1</v>
      </c>
      <c r="J113" s="1"/>
      <c r="K113" s="1"/>
      <c r="L113" s="1"/>
      <c r="M113" s="1"/>
    </row>
    <row r="114" spans="2:13" s="2" customFormat="1">
      <c r="B114" s="18" t="s">
        <v>63</v>
      </c>
      <c r="C114" s="28">
        <f>'August-2'!C78</f>
        <v>26360</v>
      </c>
      <c r="F114" s="6"/>
      <c r="H114" s="1"/>
      <c r="I114" s="1"/>
      <c r="J114" s="1"/>
      <c r="K114" s="1"/>
      <c r="L114" s="1"/>
      <c r="M114" s="1"/>
    </row>
    <row r="115" spans="2:13">
      <c r="B115" s="9"/>
      <c r="C115" s="10"/>
      <c r="D115" s="9"/>
      <c r="F115" s="10"/>
    </row>
    <row r="116" spans="2:13">
      <c r="B116" s="18" t="s">
        <v>88</v>
      </c>
      <c r="C116" s="19">
        <f>C109+C114+C108+C102+C104+C110</f>
        <v>171920.37267080747</v>
      </c>
      <c r="D116" s="18" t="s">
        <v>87</v>
      </c>
      <c r="E116" s="26"/>
      <c r="F116" s="19">
        <f>F102+F109+F110+F108+F105</f>
        <v>171920.37267080747</v>
      </c>
    </row>
    <row r="117" spans="2:13">
      <c r="B117" s="7"/>
      <c r="C117" s="8"/>
      <c r="D117" s="7"/>
      <c r="E117" s="11"/>
      <c r="F117" s="8"/>
    </row>
    <row r="118" spans="2:13">
      <c r="B118" s="245" t="s">
        <v>291</v>
      </c>
      <c r="C118" s="246">
        <v>6</v>
      </c>
      <c r="D118" s="245" t="s">
        <v>227</v>
      </c>
      <c r="E118" s="245"/>
    </row>
    <row r="120" spans="2:13" ht="19">
      <c r="B120" s="12" t="s">
        <v>316</v>
      </c>
      <c r="E120" s="12" t="s">
        <v>316</v>
      </c>
      <c r="F120" s="2"/>
      <c r="G120" s="1"/>
    </row>
    <row r="121" spans="2:13">
      <c r="F121" s="2"/>
      <c r="G121" s="1"/>
    </row>
    <row r="122" spans="2:13">
      <c r="B122" s="1" t="s">
        <v>173</v>
      </c>
      <c r="C122" s="2">
        <f>'Financial analysis August-2'!N99</f>
        <v>36300.372670807454</v>
      </c>
      <c r="E122" s="1" t="s">
        <v>249</v>
      </c>
      <c r="F122" s="2"/>
      <c r="G122" s="1"/>
      <c r="I122" s="1">
        <f>C34</f>
        <v>20408.433507309353</v>
      </c>
    </row>
    <row r="123" spans="2:13">
      <c r="C123" s="2"/>
      <c r="E123" s="1" t="s">
        <v>301</v>
      </c>
      <c r="F123" s="2"/>
      <c r="G123" s="1"/>
      <c r="I123" s="11">
        <f>K14</f>
        <v>1000</v>
      </c>
    </row>
    <row r="124" spans="2:13">
      <c r="B124" s="26" t="s">
        <v>183</v>
      </c>
      <c r="C124" s="127">
        <f>'Financial analysis August-2'!N99-'Financial analysis August-2'!M99</f>
        <v>-1871.5664926906466</v>
      </c>
      <c r="F124" s="2"/>
      <c r="G124" s="1"/>
    </row>
    <row r="125" spans="2:13">
      <c r="C125" s="2"/>
      <c r="E125" s="26" t="s">
        <v>29</v>
      </c>
      <c r="F125" s="2"/>
      <c r="G125" s="1"/>
      <c r="I125" s="26">
        <f>I122+I123</f>
        <v>21408.433507309353</v>
      </c>
    </row>
    <row r="126" spans="2:13">
      <c r="B126" s="1" t="s">
        <v>249</v>
      </c>
      <c r="C126" s="2">
        <f>C34</f>
        <v>20408.433507309353</v>
      </c>
      <c r="F126" s="2"/>
      <c r="G126" s="1"/>
    </row>
    <row r="127" spans="2:13">
      <c r="B127" s="1" t="s">
        <v>251</v>
      </c>
      <c r="C127" s="25">
        <f>K14</f>
        <v>1000</v>
      </c>
      <c r="E127" s="1" t="s">
        <v>294</v>
      </c>
      <c r="F127" s="2"/>
      <c r="G127" s="1"/>
      <c r="I127" s="1">
        <f>C36</f>
        <v>-240</v>
      </c>
    </row>
    <row r="128" spans="2:13">
      <c r="C128" s="2"/>
      <c r="E128" s="1" t="s">
        <v>295</v>
      </c>
      <c r="F128" s="2"/>
      <c r="G128" s="1"/>
      <c r="I128" s="11">
        <f>C40</f>
        <v>-4033.6867014618711</v>
      </c>
    </row>
    <row r="129" spans="2:9">
      <c r="B129" s="26" t="s">
        <v>29</v>
      </c>
      <c r="C129" s="127">
        <f>C126+C127</f>
        <v>21408.433507309353</v>
      </c>
      <c r="F129" s="2"/>
      <c r="G129" s="1"/>
    </row>
    <row r="130" spans="2:9">
      <c r="C130" s="2"/>
      <c r="E130" s="26" t="s">
        <v>296</v>
      </c>
      <c r="F130" s="127"/>
      <c r="G130" s="26"/>
      <c r="H130" s="26"/>
      <c r="I130" s="26">
        <f>I125+I127+I128</f>
        <v>17134.746805847484</v>
      </c>
    </row>
    <row r="131" spans="2:9" ht="19">
      <c r="B131" s="87" t="s">
        <v>184</v>
      </c>
      <c r="C131" s="126">
        <f>C129-C124</f>
        <v>23280</v>
      </c>
      <c r="F131" s="2"/>
      <c r="G131" s="1"/>
    </row>
    <row r="132" spans="2:9">
      <c r="C132" s="2"/>
      <c r="E132" s="1" t="s">
        <v>297</v>
      </c>
      <c r="F132" s="2"/>
      <c r="G132" s="1"/>
      <c r="I132" s="1">
        <f>-'Financial analysis August-2'!N129</f>
        <v>-12094.746805847484</v>
      </c>
    </row>
    <row r="133" spans="2:9">
      <c r="B133" s="1" t="s">
        <v>315</v>
      </c>
      <c r="C133" s="2">
        <v>-18000</v>
      </c>
      <c r="F133" s="2"/>
      <c r="G133" s="1"/>
    </row>
    <row r="134" spans="2:9">
      <c r="B134" s="1" t="s">
        <v>176</v>
      </c>
      <c r="C134" s="2">
        <f>C60</f>
        <v>0</v>
      </c>
      <c r="E134" s="26" t="s">
        <v>298</v>
      </c>
      <c r="F134" s="2"/>
      <c r="G134" s="1"/>
      <c r="I134" s="26">
        <f>I130+I132</f>
        <v>5040</v>
      </c>
    </row>
    <row r="135" spans="2:9">
      <c r="B135" s="1" t="s">
        <v>253</v>
      </c>
      <c r="C135" s="25">
        <f>C36</f>
        <v>-240</v>
      </c>
      <c r="F135" s="2"/>
      <c r="G135" s="1"/>
    </row>
    <row r="136" spans="2:9">
      <c r="C136" s="2"/>
      <c r="E136" s="1" t="s">
        <v>321</v>
      </c>
      <c r="F136" s="2"/>
      <c r="G136" s="1"/>
      <c r="I136" s="1">
        <v>0</v>
      </c>
    </row>
    <row r="137" spans="2:9">
      <c r="B137" s="26" t="s">
        <v>254</v>
      </c>
      <c r="C137" s="127">
        <f>C131+C135+C134+C133</f>
        <v>5040</v>
      </c>
      <c r="E137" s="1" t="s">
        <v>322</v>
      </c>
      <c r="F137" s="2"/>
      <c r="G137" s="1"/>
      <c r="I137" s="11">
        <f>C139</f>
        <v>-6000</v>
      </c>
    </row>
    <row r="138" spans="2:9">
      <c r="C138" s="2"/>
      <c r="F138" s="2"/>
      <c r="G138" s="1"/>
    </row>
    <row r="139" spans="2:9">
      <c r="B139" s="1" t="s">
        <v>286</v>
      </c>
      <c r="C139" s="25">
        <f>C62</f>
        <v>-6000</v>
      </c>
      <c r="E139" s="26" t="s">
        <v>256</v>
      </c>
      <c r="F139" s="127"/>
      <c r="G139" s="26"/>
      <c r="H139" s="26"/>
      <c r="I139" s="26">
        <f>I134+I136+I137</f>
        <v>-960</v>
      </c>
    </row>
    <row r="140" spans="2:9">
      <c r="C140" s="2"/>
      <c r="F140" s="2"/>
      <c r="G140" s="1"/>
    </row>
    <row r="141" spans="2:9">
      <c r="B141" s="26" t="s">
        <v>256</v>
      </c>
      <c r="C141" s="127">
        <f>C137+C139</f>
        <v>-960</v>
      </c>
      <c r="F141" s="2"/>
      <c r="G141" s="1"/>
    </row>
    <row r="142" spans="2:9">
      <c r="C142" s="2"/>
      <c r="F142" s="2"/>
      <c r="G142" s="1"/>
    </row>
    <row r="143" spans="2:9">
      <c r="B143" s="1" t="s">
        <v>257</v>
      </c>
      <c r="C143" s="2">
        <v>0</v>
      </c>
      <c r="E143" s="1" t="s">
        <v>167</v>
      </c>
      <c r="F143" s="2"/>
      <c r="G143" s="1"/>
      <c r="I143" s="1">
        <f>C42</f>
        <v>16134.746805847482</v>
      </c>
    </row>
    <row r="144" spans="2:9">
      <c r="C144" s="2"/>
      <c r="F144" s="2"/>
      <c r="G144" s="1"/>
    </row>
    <row r="145" spans="2:9">
      <c r="B145" s="1" t="s">
        <v>177</v>
      </c>
      <c r="C145" s="25">
        <f>C61</f>
        <v>0</v>
      </c>
      <c r="E145" s="1" t="s">
        <v>301</v>
      </c>
      <c r="F145" s="2"/>
      <c r="G145" s="1"/>
      <c r="I145" s="11">
        <f>I123</f>
        <v>1000</v>
      </c>
    </row>
    <row r="146" spans="2:9">
      <c r="C146" s="2"/>
      <c r="F146" s="2"/>
      <c r="G146" s="1"/>
    </row>
    <row r="147" spans="2:9">
      <c r="B147" s="26" t="s">
        <v>178</v>
      </c>
      <c r="C147" s="127">
        <f>C141+C143</f>
        <v>-960</v>
      </c>
      <c r="E147" s="26" t="s">
        <v>296</v>
      </c>
      <c r="F147" s="2"/>
      <c r="G147" s="1"/>
      <c r="I147" s="26">
        <f>I143+I145</f>
        <v>17134.746805847484</v>
      </c>
    </row>
  </sheetData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8424-EEA4-794A-AB17-053DF3735B43}">
  <dimension ref="B3:N165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4.6640625" customWidth="1"/>
    <col min="7" max="14" width="10.83203125" style="89"/>
  </cols>
  <sheetData>
    <row r="3" spans="2:14" ht="19">
      <c r="B3" s="12"/>
    </row>
    <row r="4" spans="2:14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90"/>
      <c r="N4" s="90"/>
    </row>
    <row r="5" spans="2:14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70" t="s">
        <v>279</v>
      </c>
      <c r="N5" s="70" t="s">
        <v>280</v>
      </c>
    </row>
    <row r="6" spans="2:14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92"/>
      <c r="N6" s="92"/>
    </row>
    <row r="7" spans="2:14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90"/>
      <c r="N7" s="90"/>
    </row>
    <row r="8" spans="2:14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93">
        <f>'July-2'!C24</f>
        <v>99500</v>
      </c>
      <c r="N8" s="93">
        <f>'August-2'!C24</f>
        <v>84000</v>
      </c>
    </row>
    <row r="9" spans="2:14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91"/>
      <c r="N9" s="91"/>
    </row>
    <row r="10" spans="2:14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94">
        <f>'July-2'!C26</f>
        <v>-65950.478418919476</v>
      </c>
      <c r="N10" s="94">
        <f>'August-2'!C26</f>
        <v>-55191.566492690647</v>
      </c>
    </row>
    <row r="11" spans="2:14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91"/>
      <c r="N11" s="91"/>
    </row>
    <row r="12" spans="2:14">
      <c r="B12" s="71" t="s">
        <v>108</v>
      </c>
      <c r="C12" s="100">
        <f>C8+C10</f>
        <v>2000</v>
      </c>
      <c r="D12" s="100">
        <f t="shared" ref="D12:M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93">
        <f t="shared" si="0"/>
        <v>33549.521581080524</v>
      </c>
      <c r="N12" s="93">
        <f t="shared" ref="N12" si="1">N8+N10</f>
        <v>28808.433507309353</v>
      </c>
    </row>
    <row r="13" spans="2:14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91"/>
      <c r="N13" s="91"/>
    </row>
    <row r="14" spans="2:14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93">
        <f>'July-2'!C30</f>
        <v>-3000</v>
      </c>
      <c r="N14" s="93">
        <f>'August-2'!C30</f>
        <v>-3000</v>
      </c>
    </row>
    <row r="15" spans="2:14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93">
        <f>'July-2'!C31</f>
        <v>-3900</v>
      </c>
      <c r="N15" s="93">
        <f>'August-2'!C31</f>
        <v>-3900</v>
      </c>
    </row>
    <row r="16" spans="2:14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93">
        <f>'July-2'!C32</f>
        <v>-1500</v>
      </c>
      <c r="N16" s="93">
        <f>'August-2'!C32</f>
        <v>-1500</v>
      </c>
    </row>
    <row r="17" spans="2:14">
      <c r="B17" s="71"/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91"/>
      <c r="N17" s="91"/>
    </row>
    <row r="18" spans="2:14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 t="shared" ref="H18:M18" si="3">H12+H14+H15+H16</f>
        <v>4700</v>
      </c>
      <c r="I18" s="136">
        <f t="shared" si="3"/>
        <v>1900</v>
      </c>
      <c r="J18" s="181">
        <f t="shared" si="3"/>
        <v>6100</v>
      </c>
      <c r="K18" s="181">
        <f t="shared" si="3"/>
        <v>5834.5238095238092</v>
      </c>
      <c r="L18" s="181">
        <f t="shared" si="3"/>
        <v>16347.893772893767</v>
      </c>
      <c r="M18" s="93">
        <f t="shared" si="3"/>
        <v>25149.521581080524</v>
      </c>
      <c r="N18" s="93">
        <f t="shared" ref="N18" si="4">N12+N14+N15+N16</f>
        <v>20408.433507309353</v>
      </c>
    </row>
    <row r="19" spans="2:14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183"/>
      <c r="K19" s="183"/>
      <c r="L19" s="183"/>
      <c r="M19" s="94"/>
      <c r="N19" s="94"/>
    </row>
    <row r="20" spans="2:14">
      <c r="B20" s="71"/>
      <c r="C20" s="100"/>
      <c r="D20" s="100"/>
      <c r="E20" s="100"/>
      <c r="F20" s="100"/>
      <c r="G20" s="136"/>
      <c r="H20" s="136"/>
      <c r="I20" s="136"/>
      <c r="J20" s="181"/>
      <c r="K20" s="181"/>
      <c r="L20" s="181"/>
      <c r="M20" s="93"/>
      <c r="N20" s="93"/>
    </row>
    <row r="21" spans="2:14">
      <c r="B21" s="71" t="s">
        <v>144</v>
      </c>
      <c r="C21" s="100">
        <f>C18+C19</f>
        <v>1000</v>
      </c>
      <c r="D21" s="100">
        <f t="shared" ref="D21:M21" si="5">D18+D19</f>
        <v>2000</v>
      </c>
      <c r="E21" s="100">
        <f t="shared" si="5"/>
        <v>3700</v>
      </c>
      <c r="F21" s="100">
        <f t="shared" si="5"/>
        <v>6700</v>
      </c>
      <c r="G21" s="139">
        <f t="shared" si="5"/>
        <v>200</v>
      </c>
      <c r="H21" s="139">
        <f t="shared" si="5"/>
        <v>4700</v>
      </c>
      <c r="I21" s="139">
        <f t="shared" si="5"/>
        <v>1900</v>
      </c>
      <c r="J21" s="184">
        <f t="shared" si="5"/>
        <v>6100</v>
      </c>
      <c r="K21" s="184">
        <f t="shared" si="5"/>
        <v>5834.5238095238092</v>
      </c>
      <c r="L21" s="184">
        <f t="shared" si="5"/>
        <v>16347.893772893767</v>
      </c>
      <c r="M21" s="71">
        <f t="shared" si="5"/>
        <v>25149.521581080524</v>
      </c>
      <c r="N21" s="71">
        <f t="shared" ref="N21" si="6">N18+N19</f>
        <v>20408.433507309353</v>
      </c>
    </row>
    <row r="22" spans="2:14">
      <c r="B22" s="71"/>
      <c r="C22" s="100"/>
      <c r="D22" s="100"/>
      <c r="E22" s="100"/>
      <c r="F22" s="100"/>
      <c r="G22" s="139"/>
      <c r="H22" s="139"/>
      <c r="I22" s="139"/>
      <c r="J22" s="184"/>
      <c r="K22" s="184"/>
      <c r="L22" s="184"/>
      <c r="M22" s="71"/>
      <c r="N22" s="71"/>
    </row>
    <row r="23" spans="2:14">
      <c r="B23" s="71" t="s">
        <v>263</v>
      </c>
      <c r="C23" s="99"/>
      <c r="D23" s="99"/>
      <c r="E23" s="99"/>
      <c r="F23" s="99"/>
      <c r="G23" s="140"/>
      <c r="H23" s="140"/>
      <c r="I23" s="140"/>
      <c r="J23" s="185">
        <f>'April-2'!D36</f>
        <v>-240</v>
      </c>
      <c r="K23" s="185">
        <f>'May-2'!D36</f>
        <v>-240</v>
      </c>
      <c r="L23" s="185">
        <f>'June-2'!D36</f>
        <v>-240</v>
      </c>
      <c r="M23" s="72">
        <f>'July-2'!C36</f>
        <v>-240</v>
      </c>
      <c r="N23" s="72">
        <f>'August-2'!C36</f>
        <v>-240</v>
      </c>
    </row>
    <row r="24" spans="2:14">
      <c r="B24" s="71"/>
      <c r="C24" s="100"/>
      <c r="D24" s="100"/>
      <c r="E24" s="100"/>
      <c r="F24" s="100"/>
      <c r="G24" s="139"/>
      <c r="H24" s="139"/>
      <c r="I24" s="139"/>
      <c r="J24" s="184"/>
      <c r="K24" s="184"/>
      <c r="L24" s="184"/>
      <c r="M24" s="71"/>
      <c r="N24" s="71"/>
    </row>
    <row r="25" spans="2:14">
      <c r="B25" s="71" t="s">
        <v>264</v>
      </c>
      <c r="C25" s="100"/>
      <c r="D25" s="100"/>
      <c r="E25" s="100"/>
      <c r="F25" s="100"/>
      <c r="G25" s="139"/>
      <c r="H25" s="139"/>
      <c r="I25" s="139"/>
      <c r="J25" s="184">
        <f>J21+J23</f>
        <v>5860</v>
      </c>
      <c r="K25" s="184">
        <f>K21+K23</f>
        <v>5594.5238095238092</v>
      </c>
      <c r="L25" s="184">
        <f>L21+L23</f>
        <v>16107.893772893767</v>
      </c>
      <c r="M25" s="71">
        <f>M21+M23</f>
        <v>24909.521581080524</v>
      </c>
      <c r="N25" s="71">
        <f>N21+N23</f>
        <v>20168.433507309353</v>
      </c>
    </row>
    <row r="26" spans="2:14">
      <c r="B26" s="71"/>
      <c r="C26" s="100"/>
      <c r="D26" s="100"/>
      <c r="E26" s="100"/>
      <c r="F26" s="100"/>
      <c r="G26" s="137"/>
      <c r="H26" s="137"/>
      <c r="I26" s="137"/>
      <c r="J26" s="182"/>
      <c r="K26" s="182"/>
      <c r="L26" s="182"/>
      <c r="M26" s="91"/>
      <c r="N26" s="91"/>
    </row>
    <row r="27" spans="2:14">
      <c r="B27" s="71" t="s">
        <v>265</v>
      </c>
      <c r="C27" s="99">
        <f t="shared" ref="C27:I27" si="7">-C21*TIS</f>
        <v>-200</v>
      </c>
      <c r="D27" s="99">
        <f t="shared" si="7"/>
        <v>-400</v>
      </c>
      <c r="E27" s="99">
        <f t="shared" si="7"/>
        <v>-740</v>
      </c>
      <c r="F27" s="99">
        <f t="shared" si="7"/>
        <v>-1340</v>
      </c>
      <c r="G27" s="140">
        <f t="shared" si="7"/>
        <v>-40</v>
      </c>
      <c r="H27" s="140">
        <f t="shared" si="7"/>
        <v>-940</v>
      </c>
      <c r="I27" s="140">
        <f t="shared" si="7"/>
        <v>-380</v>
      </c>
      <c r="J27" s="185">
        <f>'April-2'!D40</f>
        <v>-1172</v>
      </c>
      <c r="K27" s="185">
        <f>'May-2'!D40</f>
        <v>-1118.9047619047619</v>
      </c>
      <c r="L27" s="185">
        <f>'June-2'!D40</f>
        <v>-3221.5787545787534</v>
      </c>
      <c r="M27" s="72">
        <f>'July-2'!C40</f>
        <v>-4981.9043162161051</v>
      </c>
      <c r="N27" s="72">
        <f>'August-2'!C40</f>
        <v>-4033.6867014618711</v>
      </c>
    </row>
    <row r="28" spans="2:14">
      <c r="B28" s="71"/>
      <c r="C28" s="100"/>
      <c r="D28" s="100"/>
      <c r="E28" s="100"/>
      <c r="F28" s="100"/>
      <c r="G28" s="137"/>
      <c r="H28" s="137"/>
      <c r="I28" s="137"/>
      <c r="J28" s="182"/>
      <c r="K28" s="182"/>
      <c r="L28" s="182"/>
      <c r="M28" s="91"/>
      <c r="N28" s="91"/>
    </row>
    <row r="29" spans="2:14">
      <c r="B29" s="71" t="s">
        <v>167</v>
      </c>
      <c r="C29" s="100">
        <f>C21+C27</f>
        <v>800</v>
      </c>
      <c r="D29" s="100">
        <f t="shared" ref="D29:I29" si="8">D21+D27</f>
        <v>1600</v>
      </c>
      <c r="E29" s="100">
        <f t="shared" si="8"/>
        <v>2960</v>
      </c>
      <c r="F29" s="100">
        <f t="shared" si="8"/>
        <v>5360</v>
      </c>
      <c r="G29" s="139">
        <f t="shared" si="8"/>
        <v>160</v>
      </c>
      <c r="H29" s="139">
        <f t="shared" si="8"/>
        <v>3760</v>
      </c>
      <c r="I29" s="139">
        <f t="shared" si="8"/>
        <v>1520</v>
      </c>
      <c r="J29" s="184">
        <f>J25+J27</f>
        <v>4688</v>
      </c>
      <c r="K29" s="184">
        <f>K25+K27</f>
        <v>4475.6190476190477</v>
      </c>
      <c r="L29" s="184">
        <f>L25+L27</f>
        <v>12886.315018315014</v>
      </c>
      <c r="M29" s="71">
        <f>M25+M27</f>
        <v>19927.617264864421</v>
      </c>
      <c r="N29" s="71">
        <f>N25+N27</f>
        <v>16134.746805847482</v>
      </c>
    </row>
    <row r="30" spans="2:14">
      <c r="B30" s="53"/>
      <c r="C30" s="104"/>
      <c r="D30" s="104"/>
      <c r="E30" s="104"/>
      <c r="F30" s="104"/>
      <c r="G30" s="135"/>
      <c r="H30" s="135"/>
      <c r="I30" s="135"/>
      <c r="J30" s="180"/>
      <c r="K30" s="180"/>
      <c r="L30" s="180"/>
      <c r="M30" s="92"/>
      <c r="N30" s="92"/>
    </row>
    <row r="46" spans="2:14">
      <c r="B46" s="50"/>
      <c r="C46" s="102"/>
      <c r="D46" s="102"/>
      <c r="E46" s="102"/>
      <c r="F46" s="102"/>
      <c r="G46" s="133"/>
      <c r="H46" s="133"/>
      <c r="I46" s="133"/>
      <c r="J46" s="178"/>
      <c r="K46" s="178"/>
      <c r="L46" s="178"/>
      <c r="M46" s="90"/>
      <c r="N46" s="90"/>
    </row>
    <row r="47" spans="2:14" ht="19">
      <c r="B47" s="80" t="s">
        <v>302</v>
      </c>
      <c r="C47" s="103" t="str">
        <f>C5</f>
        <v>September</v>
      </c>
      <c r="D47" s="103" t="str">
        <f t="shared" ref="D47:N47" si="9">D5</f>
        <v>October</v>
      </c>
      <c r="E47" s="103" t="str">
        <f t="shared" si="9"/>
        <v>November</v>
      </c>
      <c r="F47" s="103" t="str">
        <f t="shared" si="9"/>
        <v>December</v>
      </c>
      <c r="G47" s="134" t="str">
        <f t="shared" si="9"/>
        <v>January</v>
      </c>
      <c r="H47" s="134" t="str">
        <f t="shared" si="9"/>
        <v>February</v>
      </c>
      <c r="I47" s="134" t="str">
        <f t="shared" si="9"/>
        <v>March</v>
      </c>
      <c r="J47" s="179" t="str">
        <f t="shared" si="9"/>
        <v>April</v>
      </c>
      <c r="K47" s="179" t="str">
        <f t="shared" si="9"/>
        <v>May</v>
      </c>
      <c r="L47" s="179" t="str">
        <f t="shared" si="9"/>
        <v>June</v>
      </c>
      <c r="M47" s="70" t="str">
        <f t="shared" si="9"/>
        <v>July</v>
      </c>
      <c r="N47" s="70" t="str">
        <f t="shared" si="9"/>
        <v>August</v>
      </c>
    </row>
    <row r="48" spans="2:14">
      <c r="B48" s="53"/>
      <c r="C48" s="104"/>
      <c r="D48" s="104"/>
      <c r="E48" s="104"/>
      <c r="F48" s="104"/>
      <c r="G48" s="135"/>
      <c r="H48" s="135"/>
      <c r="I48" s="135"/>
      <c r="J48" s="180"/>
      <c r="K48" s="180"/>
      <c r="L48" s="180"/>
      <c r="M48" s="92"/>
      <c r="N48" s="92"/>
    </row>
    <row r="49" spans="2:14">
      <c r="B49" s="50"/>
      <c r="C49" s="102"/>
      <c r="D49" s="102"/>
      <c r="E49" s="102"/>
      <c r="F49" s="102"/>
      <c r="G49" s="133"/>
      <c r="H49" s="133"/>
      <c r="I49" s="133"/>
      <c r="J49" s="178"/>
      <c r="K49" s="178"/>
      <c r="L49" s="178"/>
      <c r="M49" s="90"/>
      <c r="N49" s="90"/>
    </row>
    <row r="50" spans="2:14">
      <c r="B50" s="71" t="s">
        <v>65</v>
      </c>
      <c r="C50" s="105">
        <f t="shared" ref="C50:M50" si="10">C8/C$8</f>
        <v>1</v>
      </c>
      <c r="D50" s="105">
        <f t="shared" si="10"/>
        <v>1</v>
      </c>
      <c r="E50" s="105">
        <f t="shared" si="10"/>
        <v>1</v>
      </c>
      <c r="F50" s="105">
        <f t="shared" si="10"/>
        <v>1</v>
      </c>
      <c r="G50" s="141">
        <f t="shared" si="10"/>
        <v>1</v>
      </c>
      <c r="H50" s="141">
        <f t="shared" si="10"/>
        <v>1</v>
      </c>
      <c r="I50" s="141">
        <f t="shared" si="10"/>
        <v>1</v>
      </c>
      <c r="J50" s="186">
        <f t="shared" si="10"/>
        <v>1</v>
      </c>
      <c r="K50" s="186">
        <f t="shared" si="10"/>
        <v>1</v>
      </c>
      <c r="L50" s="186">
        <f t="shared" si="10"/>
        <v>1</v>
      </c>
      <c r="M50" s="95">
        <f t="shared" si="10"/>
        <v>1</v>
      </c>
      <c r="N50" s="95">
        <f t="shared" ref="N50" si="11">N8/N$8</f>
        <v>1</v>
      </c>
    </row>
    <row r="51" spans="2:14">
      <c r="B51" s="71"/>
      <c r="C51" s="100"/>
      <c r="D51" s="100"/>
      <c r="E51" s="100"/>
      <c r="F51" s="100"/>
      <c r="G51" s="136"/>
      <c r="H51" s="136"/>
      <c r="I51" s="136"/>
      <c r="J51" s="181"/>
      <c r="K51" s="181"/>
      <c r="L51" s="181"/>
      <c r="M51" s="93"/>
      <c r="N51" s="93"/>
    </row>
    <row r="52" spans="2:14">
      <c r="B52" s="71" t="s">
        <v>187</v>
      </c>
      <c r="C52" s="106">
        <f t="shared" ref="C52:M52" si="12">C10/C$8</f>
        <v>-0.66666666666666663</v>
      </c>
      <c r="D52" s="106">
        <f t="shared" si="12"/>
        <v>-0.72727272727272729</v>
      </c>
      <c r="E52" s="106">
        <f t="shared" si="12"/>
        <v>-0.7407407407407407</v>
      </c>
      <c r="F52" s="106">
        <f t="shared" si="12"/>
        <v>-0.72222222222222221</v>
      </c>
      <c r="G52" s="142">
        <f t="shared" si="12"/>
        <v>-0.72727272727272729</v>
      </c>
      <c r="H52" s="142">
        <f t="shared" si="12"/>
        <v>-0.72463768115942029</v>
      </c>
      <c r="I52" s="142">
        <f t="shared" si="12"/>
        <v>-0.72727272727272729</v>
      </c>
      <c r="J52" s="187">
        <f t="shared" si="12"/>
        <v>-0.72380952380952379</v>
      </c>
      <c r="K52" s="187">
        <f t="shared" si="12"/>
        <v>-0.76471861471861469</v>
      </c>
      <c r="L52" s="187">
        <f t="shared" si="12"/>
        <v>-0.68870573870573881</v>
      </c>
      <c r="M52" s="96">
        <f t="shared" si="12"/>
        <v>-0.66281887858210531</v>
      </c>
      <c r="N52" s="96">
        <f t="shared" ref="N52" si="13">N10/N$8</f>
        <v>-0.65704245824631724</v>
      </c>
    </row>
    <row r="53" spans="2:14">
      <c r="B53" s="71"/>
      <c r="C53" s="100"/>
      <c r="D53" s="100"/>
      <c r="E53" s="100"/>
      <c r="F53" s="100"/>
      <c r="G53" s="136"/>
      <c r="H53" s="136"/>
      <c r="I53" s="136"/>
      <c r="J53" s="181"/>
      <c r="K53" s="181"/>
      <c r="L53" s="181"/>
      <c r="M53" s="93"/>
      <c r="N53" s="93"/>
    </row>
    <row r="54" spans="2:14">
      <c r="B54" s="71" t="s">
        <v>108</v>
      </c>
      <c r="C54" s="105">
        <f t="shared" ref="C54:M54" si="14">C12/C$8</f>
        <v>0.33333333333333331</v>
      </c>
      <c r="D54" s="105">
        <f t="shared" si="14"/>
        <v>0.27272727272727271</v>
      </c>
      <c r="E54" s="105">
        <f t="shared" si="14"/>
        <v>0.25925925925925924</v>
      </c>
      <c r="F54" s="105">
        <f t="shared" si="14"/>
        <v>0.27777777777777779</v>
      </c>
      <c r="G54" s="141">
        <f t="shared" si="14"/>
        <v>0.27272727272727271</v>
      </c>
      <c r="H54" s="141">
        <f t="shared" si="14"/>
        <v>0.27536231884057971</v>
      </c>
      <c r="I54" s="141">
        <f t="shared" si="14"/>
        <v>0.27272727272727271</v>
      </c>
      <c r="J54" s="186">
        <f t="shared" si="14"/>
        <v>0.27619047619047621</v>
      </c>
      <c r="K54" s="186">
        <f t="shared" si="14"/>
        <v>0.23528138528138529</v>
      </c>
      <c r="L54" s="186">
        <f t="shared" si="14"/>
        <v>0.31129426129426124</v>
      </c>
      <c r="M54" s="95">
        <f t="shared" si="14"/>
        <v>0.33718112141789469</v>
      </c>
      <c r="N54" s="95">
        <f t="shared" ref="N54" si="15">N12/N$8</f>
        <v>0.34295754175368276</v>
      </c>
    </row>
    <row r="55" spans="2:14">
      <c r="B55" s="71"/>
      <c r="C55" s="100"/>
      <c r="D55" s="100"/>
      <c r="E55" s="100"/>
      <c r="F55" s="100"/>
      <c r="G55" s="136"/>
      <c r="H55" s="136"/>
      <c r="I55" s="136"/>
      <c r="J55" s="181"/>
      <c r="K55" s="181"/>
      <c r="L55" s="181"/>
      <c r="M55" s="93"/>
      <c r="N55" s="93"/>
    </row>
    <row r="56" spans="2:14">
      <c r="B56" s="71" t="s">
        <v>99</v>
      </c>
      <c r="C56" s="105">
        <f t="shared" ref="C56:M58" si="16">C14/C$8</f>
        <v>-0.16666666666666666</v>
      </c>
      <c r="D56" s="105">
        <f t="shared" si="16"/>
        <v>-9.0909090909090912E-2</v>
      </c>
      <c r="E56" s="105">
        <f t="shared" si="16"/>
        <v>-7.407407407407407E-2</v>
      </c>
      <c r="F56" s="105">
        <f t="shared" si="16"/>
        <v>-5.5555555555555552E-2</v>
      </c>
      <c r="G56" s="141">
        <f t="shared" si="16"/>
        <v>-7.2727272727272724E-2</v>
      </c>
      <c r="H56" s="141">
        <f t="shared" si="16"/>
        <v>-5.7971014492753624E-2</v>
      </c>
      <c r="I56" s="141">
        <f t="shared" si="16"/>
        <v>-7.792207792207792E-2</v>
      </c>
      <c r="J56" s="186">
        <f t="shared" si="16"/>
        <v>-5.7142857142857141E-2</v>
      </c>
      <c r="K56" s="186">
        <f t="shared" si="16"/>
        <v>-4.9586776859504134E-2</v>
      </c>
      <c r="L56" s="186">
        <f t="shared" si="16"/>
        <v>-3.7735849056603772E-2</v>
      </c>
      <c r="M56" s="95">
        <f t="shared" si="16"/>
        <v>-3.015075376884422E-2</v>
      </c>
      <c r="N56" s="95">
        <f t="shared" ref="N56" si="17">N14/N$8</f>
        <v>-3.5714285714285712E-2</v>
      </c>
    </row>
    <row r="57" spans="2:14">
      <c r="B57" s="71" t="s">
        <v>100</v>
      </c>
      <c r="C57" s="100"/>
      <c r="D57" s="100"/>
      <c r="E57" s="105">
        <f t="shared" si="16"/>
        <v>-4.8148148148148148E-2</v>
      </c>
      <c r="F57" s="105">
        <f t="shared" si="16"/>
        <v>-3.6111111111111108E-2</v>
      </c>
      <c r="G57" s="141">
        <f t="shared" si="16"/>
        <v>-4.7272727272727272E-2</v>
      </c>
      <c r="H57" s="141">
        <f t="shared" si="16"/>
        <v>-3.7681159420289857E-2</v>
      </c>
      <c r="I57" s="141">
        <f t="shared" si="16"/>
        <v>-6.7532467532467527E-2</v>
      </c>
      <c r="J57" s="186">
        <f t="shared" si="16"/>
        <v>-7.4285714285714288E-2</v>
      </c>
      <c r="K57" s="186">
        <f t="shared" si="16"/>
        <v>-6.4462809917355368E-2</v>
      </c>
      <c r="L57" s="186">
        <f t="shared" si="16"/>
        <v>-4.9056603773584909E-2</v>
      </c>
      <c r="M57" s="95">
        <f t="shared" si="16"/>
        <v>-3.9195979899497489E-2</v>
      </c>
      <c r="N57" s="95">
        <f t="shared" ref="N57" si="18">N15/N$8</f>
        <v>-4.642857142857143E-2</v>
      </c>
    </row>
    <row r="58" spans="2:14">
      <c r="B58" s="71" t="s">
        <v>188</v>
      </c>
      <c r="C58" s="99"/>
      <c r="D58" s="99"/>
      <c r="E58" s="99"/>
      <c r="F58" s="99"/>
      <c r="G58" s="138"/>
      <c r="H58" s="142">
        <f t="shared" si="16"/>
        <v>-4.3478260869565216E-2</v>
      </c>
      <c r="I58" s="142">
        <f t="shared" si="16"/>
        <v>-7.792207792207792E-2</v>
      </c>
      <c r="J58" s="187">
        <f t="shared" si="16"/>
        <v>-2.8571428571428571E-2</v>
      </c>
      <c r="K58" s="187">
        <f t="shared" si="16"/>
        <v>-2.4793388429752067E-2</v>
      </c>
      <c r="L58" s="187">
        <f t="shared" si="16"/>
        <v>-1.8867924528301886E-2</v>
      </c>
      <c r="M58" s="96">
        <f t="shared" si="16"/>
        <v>-1.507537688442211E-2</v>
      </c>
      <c r="N58" s="96">
        <f t="shared" ref="N58" si="19">N16/N$8</f>
        <v>-1.7857142857142856E-2</v>
      </c>
    </row>
    <row r="59" spans="2:14">
      <c r="B59" s="71"/>
      <c r="C59" s="100"/>
      <c r="D59" s="100"/>
      <c r="E59" s="100"/>
      <c r="F59" s="100"/>
      <c r="G59" s="136"/>
      <c r="H59" s="136"/>
      <c r="I59" s="136"/>
      <c r="J59" s="181"/>
      <c r="K59" s="181"/>
      <c r="L59" s="181"/>
      <c r="M59" s="93"/>
      <c r="N59" s="93"/>
    </row>
    <row r="60" spans="2:14">
      <c r="B60" s="71" t="s">
        <v>181</v>
      </c>
      <c r="C60" s="105">
        <f t="shared" ref="C60:M60" si="20">C18/C$8</f>
        <v>0.16666666666666666</v>
      </c>
      <c r="D60" s="105">
        <f t="shared" si="20"/>
        <v>0.18181818181818182</v>
      </c>
      <c r="E60" s="105">
        <f t="shared" si="20"/>
        <v>0.13703703703703704</v>
      </c>
      <c r="F60" s="105">
        <f t="shared" si="20"/>
        <v>0.18611111111111112</v>
      </c>
      <c r="G60" s="141">
        <f t="shared" si="20"/>
        <v>0.15272727272727274</v>
      </c>
      <c r="H60" s="141">
        <f t="shared" si="20"/>
        <v>0.13623188405797101</v>
      </c>
      <c r="I60" s="141">
        <f t="shared" si="20"/>
        <v>4.9350649350649353E-2</v>
      </c>
      <c r="J60" s="186">
        <f t="shared" si="20"/>
        <v>0.11619047619047619</v>
      </c>
      <c r="K60" s="186">
        <f t="shared" si="20"/>
        <v>9.6438410074773703E-2</v>
      </c>
      <c r="L60" s="186">
        <f t="shared" si="20"/>
        <v>0.20563388393577064</v>
      </c>
      <c r="M60" s="95">
        <f t="shared" si="20"/>
        <v>0.25275901086513092</v>
      </c>
      <c r="N60" s="95">
        <f t="shared" ref="N60" si="21">N18/N$8</f>
        <v>0.24295754175368278</v>
      </c>
    </row>
    <row r="61" spans="2:14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187"/>
      <c r="K61" s="187"/>
      <c r="L61" s="187"/>
      <c r="M61" s="96"/>
      <c r="N61" s="96"/>
    </row>
    <row r="62" spans="2:14">
      <c r="B62" s="71"/>
      <c r="C62" s="105"/>
      <c r="D62" s="105"/>
      <c r="E62" s="105"/>
      <c r="F62" s="105"/>
      <c r="G62" s="141"/>
      <c r="H62" s="141"/>
      <c r="I62" s="141"/>
      <c r="J62" s="186"/>
      <c r="K62" s="186"/>
      <c r="L62" s="186"/>
      <c r="M62" s="95"/>
      <c r="N62" s="95"/>
    </row>
    <row r="63" spans="2:14">
      <c r="B63" s="71" t="s">
        <v>144</v>
      </c>
      <c r="C63" s="105">
        <f>C60+C61</f>
        <v>0.16666666666666666</v>
      </c>
      <c r="D63" s="105">
        <f t="shared" ref="D63:M63" si="22">D60+D61</f>
        <v>0.18181818181818182</v>
      </c>
      <c r="E63" s="105">
        <f t="shared" si="22"/>
        <v>0.13703703703703704</v>
      </c>
      <c r="F63" s="105">
        <f t="shared" si="22"/>
        <v>0.18611111111111112</v>
      </c>
      <c r="G63" s="143">
        <f t="shared" si="22"/>
        <v>7.2727272727272918E-3</v>
      </c>
      <c r="H63" s="143">
        <f t="shared" si="22"/>
        <v>0.13623188405797101</v>
      </c>
      <c r="I63" s="143">
        <f t="shared" si="22"/>
        <v>4.9350649350649353E-2</v>
      </c>
      <c r="J63" s="188">
        <f t="shared" si="22"/>
        <v>0.11619047619047619</v>
      </c>
      <c r="K63" s="188">
        <f t="shared" si="22"/>
        <v>9.6438410074773703E-2</v>
      </c>
      <c r="L63" s="188">
        <f t="shared" si="22"/>
        <v>0.20563388393577064</v>
      </c>
      <c r="M63" s="107">
        <f t="shared" si="22"/>
        <v>0.25275901086513092</v>
      </c>
      <c r="N63" s="107">
        <f t="shared" ref="N63" si="23">N60+N61</f>
        <v>0.24295754175368278</v>
      </c>
    </row>
    <row r="64" spans="2:14">
      <c r="B64" s="71"/>
      <c r="C64" s="105"/>
      <c r="D64" s="105"/>
      <c r="E64" s="105"/>
      <c r="F64" s="105"/>
      <c r="G64" s="143"/>
      <c r="H64" s="143"/>
      <c r="I64" s="143"/>
      <c r="J64" s="188"/>
      <c r="K64" s="188"/>
      <c r="L64" s="188"/>
      <c r="M64" s="107"/>
      <c r="N64" s="107"/>
    </row>
    <row r="65" spans="2:14">
      <c r="B65" s="71" t="s">
        <v>263</v>
      </c>
      <c r="C65" s="106"/>
      <c r="D65" s="106"/>
      <c r="E65" s="106"/>
      <c r="F65" s="106"/>
      <c r="G65" s="144"/>
      <c r="H65" s="144"/>
      <c r="I65" s="144"/>
      <c r="J65" s="187">
        <f>J23/J$8</f>
        <v>-4.5714285714285718E-3</v>
      </c>
      <c r="K65" s="187">
        <f>K23/K$8</f>
        <v>-3.9669421487603307E-3</v>
      </c>
      <c r="L65" s="187">
        <f>L23/L$8</f>
        <v>-3.0188679245283017E-3</v>
      </c>
      <c r="M65" s="96">
        <f>M23/M$8</f>
        <v>-2.4120603015075378E-3</v>
      </c>
      <c r="N65" s="96">
        <f>N23/N$8</f>
        <v>-2.8571428571428571E-3</v>
      </c>
    </row>
    <row r="66" spans="2:14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107"/>
      <c r="N66" s="107"/>
    </row>
    <row r="67" spans="2:14">
      <c r="B67" s="71" t="s">
        <v>264</v>
      </c>
      <c r="C67" s="105"/>
      <c r="D67" s="105"/>
      <c r="E67" s="105"/>
      <c r="F67" s="105"/>
      <c r="G67" s="143"/>
      <c r="H67" s="143"/>
      <c r="I67" s="143"/>
      <c r="J67" s="188">
        <f>J63+J65</f>
        <v>0.11161904761904762</v>
      </c>
      <c r="K67" s="188">
        <f>K63+K65</f>
        <v>9.2471467926013379E-2</v>
      </c>
      <c r="L67" s="188">
        <f>L63+L65</f>
        <v>0.20261501601124235</v>
      </c>
      <c r="M67" s="107">
        <f>M63+M65</f>
        <v>0.25034695056362338</v>
      </c>
      <c r="N67" s="107">
        <f>N63+N65</f>
        <v>0.24010039889653992</v>
      </c>
    </row>
    <row r="68" spans="2:14">
      <c r="B68" s="71"/>
      <c r="C68" s="100"/>
      <c r="D68" s="100"/>
      <c r="E68" s="100"/>
      <c r="F68" s="100"/>
      <c r="G68" s="136"/>
      <c r="H68" s="136"/>
      <c r="I68" s="136"/>
      <c r="J68" s="181"/>
      <c r="K68" s="181"/>
      <c r="L68" s="181"/>
      <c r="M68" s="93"/>
      <c r="N68" s="93"/>
    </row>
    <row r="69" spans="2:14">
      <c r="B69" s="71" t="s">
        <v>265</v>
      </c>
      <c r="C69" s="106">
        <f t="shared" ref="C69:M69" si="24">C27/C$8</f>
        <v>-3.3333333333333333E-2</v>
      </c>
      <c r="D69" s="106">
        <f t="shared" si="24"/>
        <v>-3.6363636363636362E-2</v>
      </c>
      <c r="E69" s="106">
        <f t="shared" si="24"/>
        <v>-2.7407407407407408E-2</v>
      </c>
      <c r="F69" s="106">
        <f t="shared" si="24"/>
        <v>-3.7222222222222219E-2</v>
      </c>
      <c r="G69" s="142">
        <f t="shared" si="24"/>
        <v>-1.4545454545454545E-3</v>
      </c>
      <c r="H69" s="142">
        <f t="shared" si="24"/>
        <v>-2.7246376811594204E-2</v>
      </c>
      <c r="I69" s="142">
        <f t="shared" si="24"/>
        <v>-9.870129870129871E-3</v>
      </c>
      <c r="J69" s="187">
        <f t="shared" si="24"/>
        <v>-2.2323809523809524E-2</v>
      </c>
      <c r="K69" s="187">
        <f t="shared" si="24"/>
        <v>-1.8494293585202676E-2</v>
      </c>
      <c r="L69" s="187">
        <f t="shared" si="24"/>
        <v>-4.052300320224847E-2</v>
      </c>
      <c r="M69" s="96">
        <f t="shared" si="24"/>
        <v>-5.0069390112724675E-2</v>
      </c>
      <c r="N69" s="96">
        <f t="shared" ref="N69" si="25">N27/N$8</f>
        <v>-4.8020079779307986E-2</v>
      </c>
    </row>
    <row r="70" spans="2:14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93"/>
      <c r="N70" s="93"/>
    </row>
    <row r="71" spans="2:14">
      <c r="B71" s="71" t="s">
        <v>167</v>
      </c>
      <c r="C71" s="105">
        <f t="shared" ref="C71:I71" si="26">C29/C$8</f>
        <v>0.13333333333333333</v>
      </c>
      <c r="D71" s="105">
        <f t="shared" si="26"/>
        <v>0.14545454545454545</v>
      </c>
      <c r="E71" s="105">
        <f t="shared" si="26"/>
        <v>0.10962962962962963</v>
      </c>
      <c r="F71" s="105">
        <f t="shared" si="26"/>
        <v>0.14888888888888888</v>
      </c>
      <c r="G71" s="141">
        <f t="shared" si="26"/>
        <v>5.8181818181818178E-3</v>
      </c>
      <c r="H71" s="141">
        <f t="shared" si="26"/>
        <v>0.10898550724637682</v>
      </c>
      <c r="I71" s="141">
        <f t="shared" si="26"/>
        <v>3.9480519480519484E-2</v>
      </c>
      <c r="J71" s="186">
        <f>J67+J69</f>
        <v>8.9295238095238094E-2</v>
      </c>
      <c r="K71" s="186">
        <f>K67+K69</f>
        <v>7.3977174340810706E-2</v>
      </c>
      <c r="L71" s="186">
        <f>L67+L69</f>
        <v>0.16209201280899388</v>
      </c>
      <c r="M71" s="95">
        <f>M67+M69</f>
        <v>0.2002775604508987</v>
      </c>
      <c r="N71" s="95">
        <f>N67+N69</f>
        <v>0.19208031911723195</v>
      </c>
    </row>
    <row r="72" spans="2:14">
      <c r="B72" s="53"/>
      <c r="C72" s="104"/>
      <c r="D72" s="104"/>
      <c r="E72" s="104"/>
      <c r="F72" s="104"/>
      <c r="G72" s="135"/>
      <c r="H72" s="135"/>
      <c r="I72" s="135"/>
      <c r="J72" s="180"/>
      <c r="K72" s="180"/>
      <c r="L72" s="180"/>
      <c r="M72" s="92"/>
      <c r="N72" s="92"/>
    </row>
    <row r="88" spans="2:14" s="75" customFormat="1">
      <c r="B88" s="86"/>
      <c r="C88" s="97"/>
      <c r="D88" s="97"/>
      <c r="E88" s="97"/>
      <c r="F88" s="97"/>
      <c r="G88" s="145"/>
      <c r="H88" s="145"/>
      <c r="I88" s="145"/>
      <c r="J88" s="189"/>
      <c r="K88" s="189"/>
      <c r="L88" s="189"/>
      <c r="M88" s="86"/>
      <c r="N88" s="86"/>
    </row>
    <row r="89" spans="2:14" s="75" customFormat="1" ht="19">
      <c r="B89" s="353" t="s">
        <v>152</v>
      </c>
      <c r="C89" s="98" t="str">
        <f>C47</f>
        <v>September</v>
      </c>
      <c r="D89" s="98" t="str">
        <f t="shared" ref="D89:N89" si="27">D47</f>
        <v>October</v>
      </c>
      <c r="E89" s="98" t="str">
        <f t="shared" si="27"/>
        <v>November</v>
      </c>
      <c r="F89" s="98" t="str">
        <f t="shared" si="27"/>
        <v>December</v>
      </c>
      <c r="G89" s="146" t="str">
        <f t="shared" si="27"/>
        <v>January</v>
      </c>
      <c r="H89" s="146" t="str">
        <f t="shared" si="27"/>
        <v>February</v>
      </c>
      <c r="I89" s="146" t="str">
        <f t="shared" si="27"/>
        <v>March</v>
      </c>
      <c r="J89" s="190" t="str">
        <f t="shared" si="27"/>
        <v>April</v>
      </c>
      <c r="K89" s="190" t="str">
        <f t="shared" si="27"/>
        <v>May</v>
      </c>
      <c r="L89" s="190" t="str">
        <f t="shared" si="27"/>
        <v>June</v>
      </c>
      <c r="M89" s="83" t="str">
        <f t="shared" si="27"/>
        <v>July</v>
      </c>
      <c r="N89" s="83" t="str">
        <f t="shared" si="27"/>
        <v>August</v>
      </c>
    </row>
    <row r="90" spans="2:14" s="75" customFormat="1">
      <c r="B90" s="354"/>
      <c r="C90" s="99"/>
      <c r="D90" s="99"/>
      <c r="E90" s="99"/>
      <c r="F90" s="99"/>
      <c r="G90" s="140"/>
      <c r="H90" s="140"/>
      <c r="I90" s="140"/>
      <c r="J90" s="185"/>
      <c r="K90" s="185"/>
      <c r="L90" s="185"/>
      <c r="M90" s="72"/>
      <c r="N90" s="72"/>
    </row>
    <row r="91" spans="2:14" s="75" customFormat="1">
      <c r="B91" s="355"/>
      <c r="C91" s="97"/>
      <c r="D91" s="97"/>
      <c r="E91" s="97"/>
      <c r="F91" s="97"/>
      <c r="G91" s="145"/>
      <c r="H91" s="145"/>
      <c r="I91" s="145"/>
      <c r="J91" s="189"/>
      <c r="K91" s="189"/>
      <c r="L91" s="189"/>
      <c r="M91" s="86"/>
      <c r="N91" s="86"/>
    </row>
    <row r="92" spans="2:14" s="75" customFormat="1">
      <c r="B92" s="355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184">
        <f>'April-2'!C100</f>
        <v>14300</v>
      </c>
      <c r="K92" s="184">
        <f>'May-2'!C96</f>
        <v>16854.523809523809</v>
      </c>
      <c r="L92" s="184">
        <f>'June-2'!L36</f>
        <v>21562.417582417584</v>
      </c>
      <c r="M92" s="71">
        <f>'July-2'!C106</f>
        <v>27231.9391634981</v>
      </c>
      <c r="N92" s="71">
        <f>'August-2'!C108</f>
        <v>32060.37267080745</v>
      </c>
    </row>
    <row r="93" spans="2:14" s="75" customFormat="1">
      <c r="B93" s="355"/>
      <c r="C93" s="100"/>
      <c r="D93" s="100"/>
      <c r="E93" s="100"/>
      <c r="F93" s="100"/>
      <c r="G93" s="139"/>
      <c r="H93" s="139"/>
      <c r="I93" s="139"/>
      <c r="J93" s="184"/>
      <c r="K93" s="184"/>
      <c r="L93" s="184"/>
      <c r="M93" s="71"/>
      <c r="N93" s="71"/>
    </row>
    <row r="94" spans="2:14" s="75" customFormat="1">
      <c r="B94" s="355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184">
        <f>'April-2'!C101</f>
        <v>22500</v>
      </c>
      <c r="K94" s="184">
        <f>'May-2'!C97</f>
        <v>27500</v>
      </c>
      <c r="L94" s="184">
        <f>'June-2'!L48</f>
        <v>37500</v>
      </c>
      <c r="M94" s="71">
        <f>'July-2'!C107</f>
        <v>42500</v>
      </c>
      <c r="N94" s="71">
        <f>'August-2'!C109</f>
        <v>30000</v>
      </c>
    </row>
    <row r="95" spans="2:14" s="75" customFormat="1">
      <c r="B95" s="355"/>
      <c r="C95" s="100"/>
      <c r="D95" s="100"/>
      <c r="E95" s="100"/>
      <c r="F95" s="100"/>
      <c r="G95" s="139"/>
      <c r="H95" s="139"/>
      <c r="I95" s="139"/>
      <c r="J95" s="184"/>
      <c r="K95" s="184"/>
      <c r="L95" s="184"/>
      <c r="M95" s="71"/>
      <c r="N95" s="71"/>
    </row>
    <row r="96" spans="2:14" s="75" customFormat="1">
      <c r="B96" s="355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184">
        <f>-'April-2'!E101</f>
        <v>-19400</v>
      </c>
      <c r="K96" s="184">
        <f>-'May-2'!E97</f>
        <v>-20160</v>
      </c>
      <c r="L96" s="184">
        <f>-'June-2'!L54</f>
        <v>-25480</v>
      </c>
      <c r="M96" s="71">
        <f>-'July-2'!E107</f>
        <v>-31560</v>
      </c>
      <c r="N96" s="71">
        <f>-'August-2'!F109</f>
        <v>-25760</v>
      </c>
    </row>
    <row r="97" spans="2:14" s="75" customFormat="1">
      <c r="B97" s="355"/>
      <c r="C97" s="99"/>
      <c r="D97" s="99"/>
      <c r="E97" s="99"/>
      <c r="F97" s="99"/>
      <c r="G97" s="140"/>
      <c r="H97" s="140"/>
      <c r="I97" s="140"/>
      <c r="J97" s="185"/>
      <c r="K97" s="185"/>
      <c r="L97" s="185"/>
      <c r="M97" s="72"/>
      <c r="N97" s="72"/>
    </row>
    <row r="98" spans="2:14" s="75" customFormat="1">
      <c r="B98" s="355"/>
      <c r="C98" s="100"/>
      <c r="D98" s="100"/>
      <c r="E98" s="100"/>
      <c r="F98" s="100"/>
      <c r="G98" s="139"/>
      <c r="H98" s="139"/>
      <c r="I98" s="139"/>
      <c r="J98" s="184"/>
      <c r="K98" s="184"/>
      <c r="L98" s="184"/>
      <c r="M98" s="71"/>
      <c r="N98" s="71"/>
    </row>
    <row r="99" spans="2:14" s="75" customFormat="1">
      <c r="B99" s="356" t="s">
        <v>155</v>
      </c>
      <c r="C99" s="101">
        <f>C92+C94+C96</f>
        <v>0</v>
      </c>
      <c r="D99" s="101">
        <f t="shared" ref="D99:M99" si="28">D92+D94+D96</f>
        <v>1000</v>
      </c>
      <c r="E99" s="101">
        <f t="shared" si="28"/>
        <v>10000</v>
      </c>
      <c r="F99" s="101">
        <f t="shared" si="28"/>
        <v>13000</v>
      </c>
      <c r="G99" s="147">
        <f t="shared" si="28"/>
        <v>8500</v>
      </c>
      <c r="H99" s="147">
        <f t="shared" si="28"/>
        <v>9000</v>
      </c>
      <c r="I99" s="147">
        <f t="shared" si="28"/>
        <v>12000</v>
      </c>
      <c r="J99" s="191">
        <f t="shared" si="28"/>
        <v>17400</v>
      </c>
      <c r="K99" s="191">
        <f t="shared" si="28"/>
        <v>24194.523809523809</v>
      </c>
      <c r="L99" s="191">
        <f t="shared" si="28"/>
        <v>33582.417582417584</v>
      </c>
      <c r="M99" s="74">
        <f t="shared" si="28"/>
        <v>38171.9391634981</v>
      </c>
      <c r="N99" s="74">
        <f t="shared" ref="N99" si="29">N92+N94+N96</f>
        <v>36300.372670807454</v>
      </c>
    </row>
    <row r="100" spans="2:14" s="75" customFormat="1">
      <c r="B100" s="72"/>
      <c r="C100" s="99"/>
      <c r="D100" s="99"/>
      <c r="E100" s="99"/>
      <c r="F100" s="99"/>
      <c r="G100" s="140"/>
      <c r="H100" s="140"/>
      <c r="I100" s="140"/>
      <c r="J100" s="185"/>
      <c r="K100" s="185"/>
      <c r="L100" s="185"/>
      <c r="M100" s="72"/>
      <c r="N100" s="72"/>
    </row>
    <row r="101" spans="2:14">
      <c r="B101" s="50"/>
      <c r="C101" s="102"/>
      <c r="D101" s="102"/>
      <c r="E101" s="102"/>
      <c r="F101" s="102"/>
      <c r="G101" s="133"/>
      <c r="H101" s="133"/>
      <c r="I101" s="133"/>
      <c r="J101" s="178"/>
      <c r="K101" s="178"/>
      <c r="L101" s="178"/>
      <c r="M101" s="90"/>
      <c r="N101" s="90"/>
    </row>
    <row r="102" spans="2:14">
      <c r="B102" s="71" t="s">
        <v>144</v>
      </c>
      <c r="C102" s="100">
        <f>C21</f>
        <v>1000</v>
      </c>
      <c r="D102" s="100">
        <f t="shared" ref="D102:L102" si="30">D21</f>
        <v>2000</v>
      </c>
      <c r="E102" s="100">
        <f t="shared" si="30"/>
        <v>3700</v>
      </c>
      <c r="F102" s="100">
        <f t="shared" si="30"/>
        <v>6700</v>
      </c>
      <c r="G102" s="139">
        <f t="shared" si="30"/>
        <v>200</v>
      </c>
      <c r="H102" s="139">
        <f t="shared" si="30"/>
        <v>4700</v>
      </c>
      <c r="I102" s="139">
        <f t="shared" si="30"/>
        <v>1900</v>
      </c>
      <c r="J102" s="184">
        <f t="shared" si="30"/>
        <v>6100</v>
      </c>
      <c r="K102" s="184">
        <f t="shared" si="30"/>
        <v>5834.5238095238092</v>
      </c>
      <c r="L102" s="184">
        <f t="shared" si="30"/>
        <v>16347.893772893767</v>
      </c>
      <c r="M102" s="71">
        <f>'July-2'!C34</f>
        <v>25149.521581080524</v>
      </c>
      <c r="N102" s="71">
        <f>'August-2'!C34</f>
        <v>20408.433507309353</v>
      </c>
    </row>
    <row r="103" spans="2:14">
      <c r="B103" s="130"/>
      <c r="C103" s="132"/>
      <c r="D103" s="132"/>
      <c r="E103" s="132"/>
      <c r="F103" s="132"/>
      <c r="G103" s="137"/>
      <c r="H103" s="137"/>
      <c r="I103" s="137"/>
      <c r="J103" s="182"/>
      <c r="K103" s="182"/>
      <c r="L103" s="182"/>
      <c r="M103" s="91"/>
      <c r="N103" s="91"/>
    </row>
    <row r="104" spans="2:14" s="1" customFormat="1">
      <c r="B104" s="71" t="s">
        <v>303</v>
      </c>
      <c r="C104" s="100">
        <v>0</v>
      </c>
      <c r="D104" s="100">
        <v>0</v>
      </c>
      <c r="E104" s="100">
        <v>0</v>
      </c>
      <c r="F104" s="100">
        <v>0</v>
      </c>
      <c r="G104" s="139">
        <v>0</v>
      </c>
      <c r="H104" s="139">
        <v>0</v>
      </c>
      <c r="I104" s="139">
        <v>0</v>
      </c>
      <c r="J104" s="181">
        <f>'April-2'!D116</f>
        <v>1000</v>
      </c>
      <c r="K104" s="181">
        <f>'May-2'!D112</f>
        <v>1000</v>
      </c>
      <c r="L104" s="181">
        <f>'June-2'!D112</f>
        <v>1000</v>
      </c>
      <c r="M104" s="93">
        <f>'July-2'!K14</f>
        <v>1000</v>
      </c>
      <c r="N104" s="93">
        <f>'August-2'!K14</f>
        <v>1000</v>
      </c>
    </row>
    <row r="105" spans="2:14" s="1" customFormat="1">
      <c r="B105" s="71"/>
      <c r="C105" s="100"/>
      <c r="D105" s="100"/>
      <c r="E105" s="100"/>
      <c r="F105" s="100"/>
      <c r="G105" s="136"/>
      <c r="H105" s="136"/>
      <c r="I105" s="136"/>
      <c r="J105" s="181"/>
      <c r="K105" s="181"/>
      <c r="L105" s="181"/>
      <c r="M105" s="93"/>
      <c r="N105" s="93"/>
    </row>
    <row r="106" spans="2:14" s="1" customFormat="1" ht="19">
      <c r="B106" s="131" t="s">
        <v>29</v>
      </c>
      <c r="C106" s="100">
        <f>C102+C104</f>
        <v>1000</v>
      </c>
      <c r="D106" s="100">
        <f t="shared" ref="D106:M106" si="31">D102+D104</f>
        <v>2000</v>
      </c>
      <c r="E106" s="100">
        <f t="shared" si="31"/>
        <v>3700</v>
      </c>
      <c r="F106" s="100">
        <f t="shared" si="31"/>
        <v>6700</v>
      </c>
      <c r="G106" s="139">
        <f t="shared" si="31"/>
        <v>200</v>
      </c>
      <c r="H106" s="139">
        <f t="shared" si="31"/>
        <v>4700</v>
      </c>
      <c r="I106" s="139">
        <f t="shared" si="31"/>
        <v>1900</v>
      </c>
      <c r="J106" s="184">
        <f t="shared" si="31"/>
        <v>7100</v>
      </c>
      <c r="K106" s="184">
        <f t="shared" si="31"/>
        <v>6834.5238095238092</v>
      </c>
      <c r="L106" s="184">
        <f t="shared" si="31"/>
        <v>17347.893772893767</v>
      </c>
      <c r="M106" s="71">
        <f t="shared" si="31"/>
        <v>26149.521581080524</v>
      </c>
      <c r="N106" s="71">
        <f t="shared" ref="N106" si="32">N102+N104</f>
        <v>21408.433507309353</v>
      </c>
    </row>
    <row r="107" spans="2:14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  <c r="M107" s="93"/>
      <c r="N107" s="93"/>
    </row>
    <row r="108" spans="2:14" s="1" customFormat="1">
      <c r="B108" s="71" t="s">
        <v>274</v>
      </c>
      <c r="C108" s="100">
        <v>0</v>
      </c>
      <c r="D108" s="100">
        <f>-(D99-C99)</f>
        <v>-1000</v>
      </c>
      <c r="E108" s="100">
        <f t="shared" ref="E108:N108" si="33">-(E99-D99)</f>
        <v>-9000</v>
      </c>
      <c r="F108" s="100">
        <f t="shared" si="33"/>
        <v>-3000</v>
      </c>
      <c r="G108" s="139">
        <f t="shared" si="33"/>
        <v>4500</v>
      </c>
      <c r="H108" s="139">
        <f t="shared" si="33"/>
        <v>-500</v>
      </c>
      <c r="I108" s="139">
        <f t="shared" si="33"/>
        <v>-3000</v>
      </c>
      <c r="J108" s="184">
        <f t="shared" si="33"/>
        <v>-5400</v>
      </c>
      <c r="K108" s="184">
        <f t="shared" si="33"/>
        <v>-6794.5238095238092</v>
      </c>
      <c r="L108" s="184">
        <f t="shared" si="33"/>
        <v>-9387.8937728937744</v>
      </c>
      <c r="M108" s="71">
        <f t="shared" si="33"/>
        <v>-4589.5215810805166</v>
      </c>
      <c r="N108" s="71">
        <f t="shared" si="33"/>
        <v>1871.5664926906466</v>
      </c>
    </row>
    <row r="109" spans="2:14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  <c r="M109" s="93"/>
      <c r="N109" s="93"/>
    </row>
    <row r="110" spans="2:14" s="1" customFormat="1" ht="19">
      <c r="B110" s="131" t="s">
        <v>304</v>
      </c>
      <c r="C110" s="100">
        <f>C106+C108</f>
        <v>1000</v>
      </c>
      <c r="D110" s="100">
        <f t="shared" ref="D110:M110" si="34">D106+D108</f>
        <v>1000</v>
      </c>
      <c r="E110" s="100">
        <f t="shared" si="34"/>
        <v>-5300</v>
      </c>
      <c r="F110" s="100">
        <f t="shared" si="34"/>
        <v>3700</v>
      </c>
      <c r="G110" s="139">
        <f t="shared" si="34"/>
        <v>4700</v>
      </c>
      <c r="H110" s="139">
        <f t="shared" si="34"/>
        <v>4200</v>
      </c>
      <c r="I110" s="139">
        <f t="shared" si="34"/>
        <v>-1100</v>
      </c>
      <c r="J110" s="184">
        <f t="shared" si="34"/>
        <v>1700</v>
      </c>
      <c r="K110" s="184">
        <f t="shared" si="34"/>
        <v>40</v>
      </c>
      <c r="L110" s="184">
        <f t="shared" si="34"/>
        <v>7959.9999999999927</v>
      </c>
      <c r="M110" s="71">
        <f t="shared" si="34"/>
        <v>21560.000000000007</v>
      </c>
      <c r="N110" s="71">
        <f t="shared" ref="N110" si="35">N106+N108</f>
        <v>23280</v>
      </c>
    </row>
    <row r="111" spans="2:14" s="1" customFormat="1">
      <c r="B111" s="72"/>
      <c r="C111" s="99"/>
      <c r="D111" s="99"/>
      <c r="E111" s="99"/>
      <c r="F111" s="99"/>
      <c r="G111" s="138"/>
      <c r="H111" s="138"/>
      <c r="I111" s="138"/>
      <c r="J111" s="183"/>
      <c r="K111" s="183"/>
      <c r="L111" s="183"/>
      <c r="M111" s="94"/>
      <c r="N111" s="94"/>
    </row>
    <row r="112" spans="2:14">
      <c r="B112" s="86"/>
      <c r="C112" s="97"/>
      <c r="D112" s="97"/>
      <c r="E112" s="97"/>
      <c r="F112" s="97"/>
      <c r="G112" s="241"/>
      <c r="H112" s="241"/>
      <c r="I112" s="241"/>
      <c r="J112" s="243"/>
      <c r="K112" s="243"/>
      <c r="L112" s="243"/>
      <c r="M112" s="235"/>
      <c r="N112" s="235"/>
    </row>
    <row r="113" spans="2:14">
      <c r="B113" s="83" t="s">
        <v>305</v>
      </c>
      <c r="C113" s="100"/>
      <c r="D113" s="100"/>
      <c r="E113" s="100"/>
      <c r="F113" s="100"/>
      <c r="G113" s="136"/>
      <c r="H113" s="136"/>
      <c r="I113" s="136"/>
      <c r="J113" s="181"/>
      <c r="K113" s="181"/>
      <c r="L113" s="181"/>
      <c r="M113" s="93"/>
      <c r="N113" s="93"/>
    </row>
    <row r="114" spans="2:14">
      <c r="B114" s="71"/>
      <c r="C114" s="100"/>
      <c r="D114" s="100"/>
      <c r="E114" s="100"/>
      <c r="F114" s="100"/>
      <c r="G114" s="136"/>
      <c r="H114" s="136"/>
      <c r="I114" s="136"/>
      <c r="J114" s="181"/>
      <c r="K114" s="181"/>
      <c r="L114" s="181"/>
      <c r="M114" s="93"/>
      <c r="N114" s="93"/>
    </row>
    <row r="115" spans="2:14">
      <c r="B115" s="71" t="s">
        <v>306</v>
      </c>
      <c r="C115" s="238">
        <v>0</v>
      </c>
      <c r="D115" s="238">
        <v>0</v>
      </c>
      <c r="E115" s="238">
        <v>0</v>
      </c>
      <c r="F115" s="238">
        <v>0</v>
      </c>
      <c r="G115" s="136">
        <v>0</v>
      </c>
      <c r="H115" s="136">
        <v>0</v>
      </c>
      <c r="I115" s="136">
        <v>0</v>
      </c>
      <c r="J115" s="181">
        <v>0</v>
      </c>
      <c r="K115" s="181">
        <v>0</v>
      </c>
      <c r="L115" s="181">
        <v>0</v>
      </c>
      <c r="M115" s="93">
        <v>0</v>
      </c>
      <c r="N115" s="93">
        <f>'August-2'!C110</f>
        <v>18000</v>
      </c>
    </row>
    <row r="116" spans="2:14">
      <c r="B116" s="71"/>
      <c r="C116" s="100"/>
      <c r="D116" s="100"/>
      <c r="E116" s="100"/>
      <c r="F116" s="100"/>
      <c r="G116" s="136"/>
      <c r="H116" s="136"/>
      <c r="I116" s="136"/>
      <c r="J116" s="181"/>
      <c r="K116" s="181"/>
      <c r="L116" s="181"/>
      <c r="M116" s="93"/>
      <c r="N116" s="93"/>
    </row>
    <row r="117" spans="2:14">
      <c r="B117" s="83" t="s">
        <v>309</v>
      </c>
      <c r="C117" s="100"/>
      <c r="D117" s="100"/>
      <c r="E117" s="100"/>
      <c r="F117" s="100"/>
      <c r="G117" s="136"/>
      <c r="H117" s="136"/>
      <c r="I117" s="136"/>
      <c r="J117" s="181"/>
      <c r="K117" s="181"/>
      <c r="L117" s="181"/>
      <c r="M117" s="93"/>
      <c r="N117" s="93"/>
    </row>
    <row r="118" spans="2:14">
      <c r="B118" s="71"/>
      <c r="C118" s="100"/>
      <c r="D118" s="100"/>
      <c r="E118" s="100"/>
      <c r="F118" s="100"/>
      <c r="G118" s="136"/>
      <c r="H118" s="136"/>
      <c r="I118" s="136"/>
      <c r="J118" s="181"/>
      <c r="K118" s="181"/>
      <c r="L118" s="181"/>
      <c r="M118" s="93"/>
      <c r="N118" s="93"/>
    </row>
    <row r="119" spans="2:14">
      <c r="B119" s="71" t="s">
        <v>135</v>
      </c>
      <c r="C119" s="238">
        <v>0</v>
      </c>
      <c r="D119" s="238">
        <v>0</v>
      </c>
      <c r="E119" s="100">
        <v>0</v>
      </c>
      <c r="F119" s="100">
        <f>-'December-1'!E69</f>
        <v>-2000</v>
      </c>
      <c r="G119" s="136">
        <f>-'January-2'!E77</f>
        <v>0</v>
      </c>
      <c r="H119" s="136">
        <f>-'February-2'!E69</f>
        <v>0</v>
      </c>
      <c r="I119" s="136">
        <f>-'March-2'!E69</f>
        <v>0</v>
      </c>
      <c r="J119" s="181">
        <f>-'April-2'!E100</f>
        <v>0</v>
      </c>
      <c r="K119" s="181">
        <f>-'May-2'!E96</f>
        <v>0</v>
      </c>
      <c r="L119" s="181">
        <f>-'June-2'!E96</f>
        <v>0</v>
      </c>
      <c r="M119" s="93">
        <f>-'July-2'!E106</f>
        <v>0</v>
      </c>
      <c r="N119" s="93">
        <f>-'August-2'!F108</f>
        <v>0</v>
      </c>
    </row>
    <row r="120" spans="2:14">
      <c r="B120" s="71" t="s">
        <v>145</v>
      </c>
      <c r="C120" s="100">
        <f>-'September-1'!E39*TIS</f>
        <v>-200</v>
      </c>
      <c r="D120" s="100">
        <f>-'October-1'!E41*TIS</f>
        <v>-600</v>
      </c>
      <c r="E120" s="100">
        <f>-'November-1'!E52*TIS</f>
        <v>-1340</v>
      </c>
      <c r="F120" s="100">
        <f>-'December-1'!E71</f>
        <v>-2680</v>
      </c>
      <c r="G120" s="136">
        <f>-'January-2'!E79</f>
        <v>-40</v>
      </c>
      <c r="H120" s="136">
        <f>-'February-2'!E71</f>
        <v>-980</v>
      </c>
      <c r="I120" s="136">
        <f>-'March-2'!E71</f>
        <v>-1360</v>
      </c>
      <c r="J120" s="181">
        <f>-'April-2'!E102</f>
        <v>-2532</v>
      </c>
      <c r="K120" s="181">
        <f>-'May-2'!E98</f>
        <v>-3650.9047619047619</v>
      </c>
      <c r="L120" s="181">
        <f>-'June-2'!E98</f>
        <v>-6872.4835164835149</v>
      </c>
      <c r="M120" s="93">
        <f>-'July-2'!E108</f>
        <v>-11854.38783269962</v>
      </c>
      <c r="N120" s="93">
        <f>-'August-2'!F110</f>
        <v>-15888.074534161491</v>
      </c>
    </row>
    <row r="121" spans="2:14">
      <c r="B121" s="71"/>
      <c r="C121" s="99"/>
      <c r="D121" s="99"/>
      <c r="E121" s="99"/>
      <c r="F121" s="99"/>
      <c r="G121" s="138"/>
      <c r="H121" s="138"/>
      <c r="I121" s="138"/>
      <c r="J121" s="183"/>
      <c r="K121" s="183"/>
      <c r="L121" s="183"/>
      <c r="M121" s="94"/>
      <c r="N121" s="94"/>
    </row>
    <row r="122" spans="2:14">
      <c r="B122" s="71"/>
      <c r="C122" s="100"/>
      <c r="D122" s="100"/>
      <c r="E122" s="100"/>
      <c r="F122" s="100"/>
      <c r="G122" s="136"/>
      <c r="H122" s="136"/>
      <c r="I122" s="136"/>
      <c r="J122" s="181"/>
      <c r="K122" s="181"/>
      <c r="L122" s="181"/>
      <c r="M122" s="93"/>
      <c r="N122" s="93"/>
    </row>
    <row r="123" spans="2:14" s="234" customFormat="1">
      <c r="B123" s="74" t="s">
        <v>307</v>
      </c>
      <c r="C123" s="239">
        <f t="shared" ref="C123:M123" si="36">C115+C119+C120</f>
        <v>-200</v>
      </c>
      <c r="D123" s="239">
        <f t="shared" si="36"/>
        <v>-600</v>
      </c>
      <c r="E123" s="239">
        <f t="shared" si="36"/>
        <v>-1340</v>
      </c>
      <c r="F123" s="239">
        <f t="shared" si="36"/>
        <v>-4680</v>
      </c>
      <c r="G123" s="242">
        <f t="shared" si="36"/>
        <v>-40</v>
      </c>
      <c r="H123" s="242">
        <f t="shared" si="36"/>
        <v>-980</v>
      </c>
      <c r="I123" s="242">
        <f t="shared" si="36"/>
        <v>-1360</v>
      </c>
      <c r="J123" s="244">
        <f t="shared" si="36"/>
        <v>-2532</v>
      </c>
      <c r="K123" s="244">
        <f t="shared" si="36"/>
        <v>-3650.9047619047619</v>
      </c>
      <c r="L123" s="244">
        <f t="shared" si="36"/>
        <v>-6872.4835164835149</v>
      </c>
      <c r="M123" s="236">
        <f t="shared" si="36"/>
        <v>-11854.38783269962</v>
      </c>
      <c r="N123" s="236">
        <f>N115+N119+N120</f>
        <v>2111.9254658385089</v>
      </c>
    </row>
    <row r="124" spans="2:14">
      <c r="B124" s="72"/>
      <c r="C124" s="240"/>
      <c r="D124" s="240"/>
      <c r="E124" s="240"/>
      <c r="F124" s="240"/>
      <c r="G124" s="138"/>
      <c r="H124" s="138"/>
      <c r="I124" s="138"/>
      <c r="J124" s="183"/>
      <c r="K124" s="183"/>
      <c r="L124" s="183"/>
      <c r="M124" s="94"/>
      <c r="N124" s="94"/>
    </row>
    <row r="125" spans="2:14">
      <c r="B125" s="71"/>
      <c r="C125" s="238"/>
      <c r="D125" s="238"/>
      <c r="E125" s="238"/>
      <c r="F125" s="238"/>
      <c r="G125" s="136"/>
      <c r="H125" s="136"/>
      <c r="I125" s="136"/>
      <c r="J125" s="181"/>
      <c r="K125" s="181"/>
      <c r="L125" s="181"/>
      <c r="M125" s="93"/>
      <c r="N125" s="93"/>
    </row>
    <row r="126" spans="2:14" ht="19">
      <c r="B126" s="80" t="s">
        <v>152</v>
      </c>
      <c r="C126" s="239">
        <f t="shared" ref="C126:M126" si="37">C99+C123</f>
        <v>-200</v>
      </c>
      <c r="D126" s="239">
        <f t="shared" si="37"/>
        <v>400</v>
      </c>
      <c r="E126" s="239">
        <f t="shared" si="37"/>
        <v>8660</v>
      </c>
      <c r="F126" s="239">
        <f t="shared" si="37"/>
        <v>8320</v>
      </c>
      <c r="G126" s="242">
        <f t="shared" si="37"/>
        <v>8460</v>
      </c>
      <c r="H126" s="242">
        <f t="shared" si="37"/>
        <v>8020</v>
      </c>
      <c r="I126" s="242">
        <f t="shared" si="37"/>
        <v>10640</v>
      </c>
      <c r="J126" s="244">
        <f t="shared" si="37"/>
        <v>14868</v>
      </c>
      <c r="K126" s="244">
        <f t="shared" si="37"/>
        <v>20543.619047619046</v>
      </c>
      <c r="L126" s="244">
        <f t="shared" si="37"/>
        <v>26709.934065934067</v>
      </c>
      <c r="M126" s="236">
        <f t="shared" si="37"/>
        <v>26317.55133079848</v>
      </c>
      <c r="N126" s="236">
        <f>N99+N123</f>
        <v>38412.298136645964</v>
      </c>
    </row>
    <row r="127" spans="2:14">
      <c r="B127" s="72"/>
      <c r="C127" s="99"/>
      <c r="D127" s="99"/>
      <c r="E127" s="99"/>
      <c r="F127" s="99"/>
      <c r="G127" s="138"/>
      <c r="H127" s="138"/>
      <c r="I127" s="138"/>
      <c r="J127" s="183"/>
      <c r="K127" s="183"/>
      <c r="L127" s="183"/>
      <c r="M127" s="94"/>
      <c r="N127" s="94"/>
    </row>
    <row r="128" spans="2:14">
      <c r="B128" s="50"/>
      <c r="C128" s="102"/>
      <c r="D128" s="102"/>
      <c r="E128" s="102"/>
      <c r="F128" s="102"/>
      <c r="G128" s="133"/>
      <c r="H128" s="133"/>
      <c r="I128" s="133"/>
      <c r="J128" s="178"/>
      <c r="K128" s="178"/>
      <c r="L128" s="178"/>
      <c r="M128" s="90"/>
      <c r="N128" s="90"/>
    </row>
    <row r="129" spans="2:14">
      <c r="B129" s="130" t="s">
        <v>308</v>
      </c>
      <c r="C129" s="238">
        <f>C126</f>
        <v>-200</v>
      </c>
      <c r="D129" s="238">
        <f t="shared" ref="D129:M129" si="38">D126-C126</f>
        <v>600</v>
      </c>
      <c r="E129" s="238">
        <f t="shared" si="38"/>
        <v>8260</v>
      </c>
      <c r="F129" s="238">
        <f t="shared" si="38"/>
        <v>-340</v>
      </c>
      <c r="G129" s="136">
        <f t="shared" si="38"/>
        <v>140</v>
      </c>
      <c r="H129" s="136">
        <f t="shared" si="38"/>
        <v>-440</v>
      </c>
      <c r="I129" s="136">
        <f t="shared" si="38"/>
        <v>2620</v>
      </c>
      <c r="J129" s="181">
        <f t="shared" si="38"/>
        <v>4228</v>
      </c>
      <c r="K129" s="181">
        <f t="shared" si="38"/>
        <v>5675.6190476190459</v>
      </c>
      <c r="L129" s="181">
        <f t="shared" si="38"/>
        <v>6166.315018315021</v>
      </c>
      <c r="M129" s="93">
        <f t="shared" si="38"/>
        <v>-392.3827351355867</v>
      </c>
      <c r="N129" s="93">
        <f>N126-M126</f>
        <v>12094.746805847484</v>
      </c>
    </row>
    <row r="130" spans="2:14">
      <c r="B130" s="53"/>
      <c r="C130" s="104"/>
      <c r="D130" s="104"/>
      <c r="E130" s="104"/>
      <c r="F130" s="104"/>
      <c r="G130" s="135"/>
      <c r="H130" s="135"/>
      <c r="I130" s="135"/>
      <c r="J130" s="180"/>
      <c r="K130" s="180"/>
      <c r="L130" s="180"/>
      <c r="M130" s="92"/>
      <c r="N130" s="92"/>
    </row>
    <row r="133" spans="2:14">
      <c r="B133" t="s">
        <v>1</v>
      </c>
    </row>
    <row r="137" spans="2:14" ht="11" customHeight="1">
      <c r="B137" s="86"/>
      <c r="C137" s="86"/>
      <c r="D137" s="86"/>
    </row>
    <row r="138" spans="2:14" ht="19">
      <c r="B138" s="80" t="s">
        <v>317</v>
      </c>
      <c r="C138" s="83" t="str">
        <f>M89</f>
        <v>July</v>
      </c>
      <c r="D138" s="83" t="str">
        <f>N89</f>
        <v>August</v>
      </c>
    </row>
    <row r="139" spans="2:14" ht="11" customHeight="1">
      <c r="B139" s="72"/>
      <c r="C139" s="72"/>
      <c r="D139" s="72"/>
    </row>
    <row r="140" spans="2:14" ht="11" customHeight="1">
      <c r="B140" s="86"/>
      <c r="C140" s="86"/>
      <c r="D140" s="86"/>
    </row>
    <row r="141" spans="2:14">
      <c r="B141" s="355" t="s">
        <v>127</v>
      </c>
      <c r="C141" s="71">
        <f>M92</f>
        <v>27231.9391634981</v>
      </c>
      <c r="D141" s="71">
        <f>N92</f>
        <v>32060.37267080745</v>
      </c>
    </row>
    <row r="142" spans="2:14" ht="11" customHeight="1">
      <c r="B142" s="355"/>
      <c r="C142" s="71"/>
      <c r="D142" s="71"/>
    </row>
    <row r="143" spans="2:14">
      <c r="B143" s="355" t="s">
        <v>153</v>
      </c>
      <c r="C143" s="71">
        <f>M94</f>
        <v>42500</v>
      </c>
      <c r="D143" s="71">
        <f>N94</f>
        <v>30000</v>
      </c>
    </row>
    <row r="144" spans="2:14" ht="11" customHeight="1">
      <c r="B144" s="355"/>
      <c r="C144" s="71"/>
      <c r="D144" s="71"/>
    </row>
    <row r="145" spans="2:4">
      <c r="B145" s="355" t="s">
        <v>154</v>
      </c>
      <c r="C145" s="71">
        <f>M96</f>
        <v>-31560</v>
      </c>
      <c r="D145" s="71">
        <f>N96</f>
        <v>-25760</v>
      </c>
    </row>
    <row r="146" spans="2:4" ht="11" customHeight="1">
      <c r="B146" s="71"/>
      <c r="C146" s="72"/>
      <c r="D146" s="72"/>
    </row>
    <row r="147" spans="2:4" ht="11" customHeight="1">
      <c r="B147" s="71"/>
      <c r="C147" s="71"/>
      <c r="D147" s="71"/>
    </row>
    <row r="148" spans="2:4">
      <c r="B148" s="356" t="s">
        <v>155</v>
      </c>
      <c r="C148" s="74">
        <f t="shared" ref="C148" si="39">C141+C143+C145</f>
        <v>38171.9391634981</v>
      </c>
      <c r="D148" s="74">
        <f t="shared" ref="D148" si="40">D141+D143+D145</f>
        <v>36300.372670807454</v>
      </c>
    </row>
    <row r="149" spans="2:4" ht="11" customHeight="1">
      <c r="B149" s="72"/>
      <c r="C149" s="72"/>
      <c r="D149" s="72"/>
    </row>
    <row r="150" spans="2:4" ht="11" customHeight="1">
      <c r="B150" s="86"/>
      <c r="C150" s="235"/>
      <c r="D150" s="235"/>
    </row>
    <row r="151" spans="2:4">
      <c r="B151" s="83" t="s">
        <v>305</v>
      </c>
      <c r="C151" s="93"/>
      <c r="D151" s="93"/>
    </row>
    <row r="152" spans="2:4" ht="11" customHeight="1">
      <c r="B152" s="71"/>
      <c r="C152" s="93"/>
      <c r="D152" s="93"/>
    </row>
    <row r="153" spans="2:4">
      <c r="B153" s="71" t="s">
        <v>306</v>
      </c>
      <c r="C153" s="93">
        <f>M115</f>
        <v>0</v>
      </c>
      <c r="D153" s="93">
        <f>N115</f>
        <v>18000</v>
      </c>
    </row>
    <row r="154" spans="2:4" ht="11" customHeight="1">
      <c r="B154" s="71"/>
      <c r="C154" s="93"/>
      <c r="D154" s="93"/>
    </row>
    <row r="155" spans="2:4">
      <c r="B155" s="83" t="s">
        <v>309</v>
      </c>
      <c r="C155" s="93"/>
      <c r="D155" s="93"/>
    </row>
    <row r="156" spans="2:4" ht="11" customHeight="1">
      <c r="B156" s="71"/>
      <c r="C156" s="93"/>
      <c r="D156" s="93"/>
    </row>
    <row r="157" spans="2:4">
      <c r="B157" s="71" t="s">
        <v>135</v>
      </c>
      <c r="C157" s="93">
        <f>M119</f>
        <v>0</v>
      </c>
      <c r="D157" s="93">
        <f>N119</f>
        <v>0</v>
      </c>
    </row>
    <row r="158" spans="2:4">
      <c r="B158" s="71" t="s">
        <v>145</v>
      </c>
      <c r="C158" s="93">
        <f>M120</f>
        <v>-11854.38783269962</v>
      </c>
      <c r="D158" s="93">
        <f>N120</f>
        <v>-15888.074534161491</v>
      </c>
    </row>
    <row r="159" spans="2:4" ht="11" customHeight="1">
      <c r="B159" s="71"/>
      <c r="C159" s="94"/>
      <c r="D159" s="94"/>
    </row>
    <row r="160" spans="2:4" ht="11" customHeight="1">
      <c r="B160" s="71"/>
      <c r="C160" s="93"/>
      <c r="D160" s="93"/>
    </row>
    <row r="161" spans="2:4">
      <c r="B161" s="74" t="s">
        <v>307</v>
      </c>
      <c r="C161" s="236">
        <f t="shared" ref="C161" si="41">C153+C157+C158</f>
        <v>-11854.38783269962</v>
      </c>
      <c r="D161" s="236">
        <f t="shared" ref="D161" si="42">D153+D157+D158</f>
        <v>2111.9254658385089</v>
      </c>
    </row>
    <row r="162" spans="2:4" ht="11" customHeight="1">
      <c r="B162" s="72"/>
      <c r="C162" s="94"/>
      <c r="D162" s="94"/>
    </row>
    <row r="163" spans="2:4" ht="11" customHeight="1">
      <c r="B163" s="71"/>
      <c r="C163" s="93"/>
      <c r="D163" s="93"/>
    </row>
    <row r="164" spans="2:4" ht="19">
      <c r="B164" s="80" t="s">
        <v>152</v>
      </c>
      <c r="C164" s="236">
        <f>C148+C161</f>
        <v>26317.55133079848</v>
      </c>
      <c r="D164" s="236">
        <f>D148+D161</f>
        <v>38412.298136645964</v>
      </c>
    </row>
    <row r="165" spans="2:4" ht="11" customHeight="1">
      <c r="B165" s="72"/>
      <c r="C165" s="94"/>
      <c r="D165" s="9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D5DF-DADB-9348-BA14-F9DBFCA03A5F}">
  <dimension ref="B2:M148"/>
  <sheetViews>
    <sheetView showGridLines="0" zoomScale="150" zoomScaleNormal="150" workbookViewId="0">
      <selection activeCell="B4" sqref="B4"/>
    </sheetView>
  </sheetViews>
  <sheetFormatPr baseColWidth="10" defaultRowHeight="16"/>
  <cols>
    <col min="1" max="1" width="5.1640625" style="1" customWidth="1"/>
    <col min="2" max="2" width="41.83203125" style="1" customWidth="1"/>
    <col min="3" max="3" width="14.83203125" style="1" customWidth="1"/>
    <col min="4" max="4" width="25.83203125" style="1" customWidth="1"/>
    <col min="5" max="5" width="11.33203125" style="1" customWidth="1"/>
    <col min="6" max="6" width="9.83203125" style="2" customWidth="1"/>
    <col min="7" max="7" width="10.83203125" style="1" customWidth="1"/>
    <col min="8" max="8" width="9.83203125" style="1" customWidth="1"/>
    <col min="9" max="9" width="9.5" style="1" customWidth="1"/>
    <col min="10" max="10" width="12.1640625" style="1" customWidth="1"/>
    <col min="11" max="11" width="8.83203125" style="1" customWidth="1"/>
    <col min="12" max="12" width="9.1640625" style="1" customWidth="1"/>
    <col min="13" max="13" width="9" style="1" customWidth="1"/>
    <col min="14" max="16384" width="10.83203125" style="1"/>
  </cols>
  <sheetData>
    <row r="2" spans="2:13" ht="19">
      <c r="F2" s="237" t="s">
        <v>233</v>
      </c>
    </row>
    <row r="3" spans="2:13">
      <c r="C3" s="86"/>
      <c r="D3" s="86"/>
      <c r="F3" s="1"/>
    </row>
    <row r="4" spans="2:13" ht="19">
      <c r="B4" s="304" t="s">
        <v>115</v>
      </c>
      <c r="C4" s="83" t="s">
        <v>116</v>
      </c>
      <c r="D4" s="83" t="s">
        <v>117</v>
      </c>
      <c r="F4" s="320"/>
      <c r="G4" s="48"/>
      <c r="H4" s="48"/>
      <c r="I4" s="48"/>
      <c r="J4" s="4"/>
      <c r="K4" s="3"/>
      <c r="L4" s="285"/>
      <c r="M4" s="4"/>
    </row>
    <row r="5" spans="2:13">
      <c r="C5" s="72"/>
      <c r="D5" s="72"/>
      <c r="F5" s="177" t="s">
        <v>320</v>
      </c>
      <c r="J5" s="10"/>
      <c r="K5" s="9"/>
      <c r="L5" s="1">
        <f>'Development plan Q4'!G12</f>
        <v>6500</v>
      </c>
      <c r="M5" s="10"/>
    </row>
    <row r="6" spans="2:13">
      <c r="B6" s="86"/>
      <c r="C6" s="71"/>
      <c r="D6" s="71"/>
      <c r="F6" s="5"/>
      <c r="J6" s="10"/>
      <c r="K6" s="9"/>
      <c r="M6" s="10"/>
    </row>
    <row r="7" spans="2:13">
      <c r="B7" s="71" t="s">
        <v>259</v>
      </c>
      <c r="C7" s="83">
        <v>1</v>
      </c>
      <c r="D7" s="83">
        <f>MAN</f>
        <v>2000</v>
      </c>
      <c r="F7" s="177" t="s">
        <v>269</v>
      </c>
      <c r="I7" s="357">
        <v>0.37230769230769234</v>
      </c>
      <c r="J7" s="10"/>
      <c r="K7" s="9"/>
      <c r="L7" s="1">
        <f>I7*L5</f>
        <v>2420</v>
      </c>
      <c r="M7" s="10"/>
    </row>
    <row r="8" spans="2:13">
      <c r="B8" s="71"/>
      <c r="C8" s="83"/>
      <c r="D8" s="83"/>
      <c r="F8" s="5"/>
      <c r="J8" s="10"/>
      <c r="K8" s="9"/>
      <c r="M8" s="10"/>
    </row>
    <row r="9" spans="2:13">
      <c r="B9" s="71" t="s">
        <v>35</v>
      </c>
      <c r="C9" s="83">
        <v>1</v>
      </c>
      <c r="D9" s="83">
        <f>ADOP</f>
        <v>1000</v>
      </c>
      <c r="F9" s="177" t="s">
        <v>270</v>
      </c>
      <c r="J9" s="10"/>
      <c r="K9" s="9"/>
      <c r="L9" s="1">
        <f>L7+L31-H31</f>
        <v>5000</v>
      </c>
      <c r="M9" s="10"/>
    </row>
    <row r="10" spans="2:13">
      <c r="B10" s="71"/>
      <c r="C10" s="83"/>
      <c r="D10" s="83"/>
      <c r="F10" s="177"/>
      <c r="J10" s="10"/>
      <c r="K10" s="9"/>
      <c r="M10" s="10"/>
    </row>
    <row r="11" spans="2:13">
      <c r="B11" s="71" t="s">
        <v>65</v>
      </c>
      <c r="C11" s="83">
        <v>5</v>
      </c>
      <c r="D11" s="83">
        <f>MKT</f>
        <v>1300</v>
      </c>
      <c r="F11" s="177" t="s">
        <v>266</v>
      </c>
      <c r="J11" s="10"/>
      <c r="K11" s="9"/>
      <c r="L11" s="317">
        <f>L9*'Investment project Q2'!C22</f>
        <v>80000</v>
      </c>
      <c r="M11" s="10"/>
    </row>
    <row r="12" spans="2:13">
      <c r="B12" s="71"/>
      <c r="C12" s="83"/>
      <c r="D12" s="83"/>
      <c r="F12" s="177" t="s">
        <v>235</v>
      </c>
      <c r="J12" s="10"/>
      <c r="K12" s="9"/>
      <c r="L12" s="1">
        <f>C18*ING</f>
        <v>1500</v>
      </c>
      <c r="M12" s="10"/>
    </row>
    <row r="13" spans="2:13">
      <c r="B13" s="71" t="s">
        <v>260</v>
      </c>
      <c r="C13" s="83">
        <f>'Development plan Q3'!I18</f>
        <v>2</v>
      </c>
      <c r="D13" s="83">
        <f>ING</f>
        <v>1500</v>
      </c>
      <c r="F13" s="177" t="s">
        <v>236</v>
      </c>
      <c r="J13" s="10"/>
      <c r="K13" s="9"/>
      <c r="L13" s="1">
        <f>C19*ADOP</f>
        <v>6000</v>
      </c>
      <c r="M13" s="10"/>
    </row>
    <row r="14" spans="2:13">
      <c r="B14" s="71"/>
      <c r="C14" s="71"/>
      <c r="D14" s="71"/>
      <c r="F14" s="177" t="s">
        <v>212</v>
      </c>
      <c r="J14" s="10"/>
      <c r="K14" s="9"/>
      <c r="L14" s="11">
        <f>'Investment project Q2'!C18/'Investment project Q2'!G18</f>
        <v>1000</v>
      </c>
      <c r="M14" s="10"/>
    </row>
    <row r="15" spans="2:13">
      <c r="B15" s="71" t="s">
        <v>36</v>
      </c>
      <c r="C15" s="83">
        <f>'Development plan Q3'!I20</f>
        <v>5</v>
      </c>
      <c r="D15" s="83">
        <f>ING</f>
        <v>1500</v>
      </c>
      <c r="F15" s="177"/>
      <c r="J15" s="10"/>
      <c r="K15" s="9"/>
      <c r="M15" s="10"/>
    </row>
    <row r="16" spans="2:13">
      <c r="B16" s="71"/>
      <c r="C16" s="83"/>
      <c r="D16" s="83"/>
      <c r="F16" s="9" t="s">
        <v>124</v>
      </c>
      <c r="J16" s="10"/>
      <c r="K16" s="9"/>
      <c r="L16" s="329">
        <f>SUM(L11:L14)</f>
        <v>88500</v>
      </c>
      <c r="M16" s="10"/>
    </row>
    <row r="17" spans="2:13">
      <c r="B17" s="71" t="s">
        <v>25</v>
      </c>
      <c r="C17" s="83"/>
      <c r="D17" s="83"/>
      <c r="F17" s="5"/>
      <c r="J17" s="10"/>
      <c r="K17" s="9"/>
      <c r="M17" s="10"/>
    </row>
    <row r="18" spans="2:13">
      <c r="B18" s="71" t="s">
        <v>261</v>
      </c>
      <c r="C18" s="83">
        <f>'Development plan Q3'!I19</f>
        <v>1</v>
      </c>
      <c r="D18" s="83">
        <f>ING</f>
        <v>1500</v>
      </c>
      <c r="F18" s="192" t="s">
        <v>237</v>
      </c>
      <c r="J18" s="10"/>
      <c r="K18" s="9"/>
      <c r="L18" s="318">
        <f>L16/L9</f>
        <v>17.7</v>
      </c>
      <c r="M18" s="19" t="s">
        <v>14</v>
      </c>
    </row>
    <row r="19" spans="2:13">
      <c r="B19" s="71" t="s">
        <v>262</v>
      </c>
      <c r="C19" s="83">
        <v>6</v>
      </c>
      <c r="D19" s="83">
        <f>ADOP</f>
        <v>1000</v>
      </c>
      <c r="F19" s="13"/>
      <c r="G19" s="11"/>
      <c r="H19" s="11"/>
      <c r="I19" s="11"/>
      <c r="J19" s="8"/>
      <c r="K19" s="7"/>
      <c r="L19" s="11"/>
      <c r="M19" s="8"/>
    </row>
    <row r="20" spans="2:13">
      <c r="B20" s="72"/>
      <c r="C20" s="72"/>
      <c r="D20" s="72"/>
    </row>
    <row r="23" spans="2:13" ht="19">
      <c r="B23" s="12" t="s">
        <v>64</v>
      </c>
    </row>
    <row r="24" spans="2:13">
      <c r="F24" s="29"/>
      <c r="G24" s="15"/>
      <c r="H24" s="24" t="s">
        <v>2</v>
      </c>
      <c r="I24" s="17"/>
      <c r="J24" s="29"/>
      <c r="K24" s="15"/>
      <c r="L24" s="24" t="s">
        <v>3</v>
      </c>
      <c r="M24" s="17"/>
    </row>
    <row r="25" spans="2:13">
      <c r="B25" s="1" t="s">
        <v>65</v>
      </c>
      <c r="C25" s="1">
        <f>F25*H25+J25*L25</f>
        <v>117500</v>
      </c>
      <c r="F25" s="9">
        <f>'Development plan Q3'!I9</f>
        <v>2000</v>
      </c>
      <c r="G25" s="2" t="s">
        <v>70</v>
      </c>
      <c r="H25" s="1">
        <f>PVB2C</f>
        <v>30</v>
      </c>
      <c r="I25" s="349" t="s">
        <v>71</v>
      </c>
      <c r="J25" s="9">
        <f>'Development plan Q3'!I10</f>
        <v>2300</v>
      </c>
      <c r="K25" s="2" t="s">
        <v>70</v>
      </c>
      <c r="L25" s="1">
        <f>PVB2B</f>
        <v>25</v>
      </c>
      <c r="M25" s="349" t="s">
        <v>71</v>
      </c>
    </row>
    <row r="26" spans="2:13">
      <c r="F26" s="9"/>
      <c r="G26" s="2"/>
      <c r="I26" s="349"/>
      <c r="J26" s="9"/>
      <c r="K26" s="2"/>
      <c r="M26" s="349"/>
    </row>
    <row r="27" spans="2:13">
      <c r="B27" s="1" t="s">
        <v>66</v>
      </c>
      <c r="C27" s="33">
        <f>-L36</f>
        <v>-77726.372670807454</v>
      </c>
      <c r="F27" s="7">
        <f>F25</f>
        <v>2000</v>
      </c>
      <c r="G27" s="25" t="s">
        <v>70</v>
      </c>
      <c r="H27" s="337">
        <f>L45</f>
        <v>18.075900621118013</v>
      </c>
      <c r="I27" s="350" t="s">
        <v>71</v>
      </c>
      <c r="J27" s="7">
        <f>J25</f>
        <v>2300</v>
      </c>
      <c r="K27" s="25" t="s">
        <v>70</v>
      </c>
      <c r="L27" s="337">
        <f>L45</f>
        <v>18.075900621118013</v>
      </c>
      <c r="M27" s="350" t="s">
        <v>71</v>
      </c>
    </row>
    <row r="29" spans="2:13">
      <c r="B29" s="1" t="s">
        <v>67</v>
      </c>
      <c r="C29" s="1">
        <f>C25+C27</f>
        <v>39773.627329192546</v>
      </c>
      <c r="F29" s="1"/>
    </row>
    <row r="30" spans="2:13">
      <c r="F30" s="14"/>
      <c r="G30" s="15"/>
      <c r="H30" s="15"/>
      <c r="I30" s="352" t="s">
        <v>111</v>
      </c>
      <c r="J30" s="15"/>
      <c r="K30" s="15"/>
      <c r="L30" s="17"/>
    </row>
    <row r="31" spans="2:13">
      <c r="B31" s="1" t="s">
        <v>99</v>
      </c>
      <c r="C31" s="1">
        <f>-(C7*MAN+C9*ADOP)</f>
        <v>-3000</v>
      </c>
      <c r="F31" s="5" t="s">
        <v>94</v>
      </c>
      <c r="H31" s="1">
        <f>'August-2'!L30</f>
        <v>1720</v>
      </c>
      <c r="J31" s="1" t="s">
        <v>65</v>
      </c>
      <c r="L31" s="10">
        <f>F25+J25</f>
        <v>4300</v>
      </c>
    </row>
    <row r="32" spans="2:13">
      <c r="B32" s="1" t="s">
        <v>100</v>
      </c>
      <c r="C32" s="1">
        <f>-C11*MKT</f>
        <v>-6500</v>
      </c>
      <c r="F32" s="13" t="s">
        <v>25</v>
      </c>
      <c r="G32" s="11"/>
      <c r="H32" s="11">
        <f>L31+L32-H31</f>
        <v>5000</v>
      </c>
      <c r="I32" s="11"/>
      <c r="J32" s="11" t="s">
        <v>90</v>
      </c>
      <c r="K32" s="11"/>
      <c r="L32" s="8">
        <f>L7</f>
        <v>2420</v>
      </c>
    </row>
    <row r="33" spans="2:12">
      <c r="B33" s="31" t="s">
        <v>310</v>
      </c>
      <c r="C33" s="11">
        <f>-C13*ING+'August-2'!C63/'August-2'!C118</f>
        <v>-6000</v>
      </c>
      <c r="F33" s="14" t="s">
        <v>6</v>
      </c>
      <c r="G33" s="15"/>
      <c r="H33" s="15">
        <f>H31+H32</f>
        <v>6720</v>
      </c>
      <c r="I33" s="15"/>
      <c r="J33" s="16" t="s">
        <v>6</v>
      </c>
      <c r="K33" s="15"/>
      <c r="L33" s="17">
        <f>L31+L32</f>
        <v>6720</v>
      </c>
    </row>
    <row r="34" spans="2:12">
      <c r="B34" s="31"/>
      <c r="J34" s="2"/>
    </row>
    <row r="35" spans="2:12">
      <c r="B35" s="1" t="s">
        <v>250</v>
      </c>
      <c r="C35" s="1">
        <f>C29+C32+C31+C33</f>
        <v>24273.627329192546</v>
      </c>
      <c r="F35" s="14"/>
      <c r="G35" s="15"/>
      <c r="H35" s="15"/>
      <c r="I35" s="24" t="s">
        <v>113</v>
      </c>
      <c r="J35" s="15"/>
      <c r="K35" s="15"/>
      <c r="L35" s="17"/>
    </row>
    <row r="36" spans="2:12">
      <c r="F36" s="5" t="s">
        <v>94</v>
      </c>
      <c r="H36" s="1">
        <f>'August-2'!L35</f>
        <v>32060.37267080745</v>
      </c>
      <c r="I36" s="334">
        <f>J42</f>
        <v>18.63975155279503</v>
      </c>
      <c r="J36" s="1" t="s">
        <v>120</v>
      </c>
      <c r="K36" s="336">
        <f>L45</f>
        <v>18.075900621118013</v>
      </c>
      <c r="L36" s="32">
        <f>H36+H37-L37</f>
        <v>77726.372670807454</v>
      </c>
    </row>
    <row r="37" spans="2:12">
      <c r="B37" s="1" t="s">
        <v>238</v>
      </c>
      <c r="C37" s="1">
        <f>-'Investment project Q2'!C82</f>
        <v>-240</v>
      </c>
      <c r="F37" s="129" t="s">
        <v>119</v>
      </c>
      <c r="G37" s="11"/>
      <c r="H37" s="328">
        <f>L16</f>
        <v>88500</v>
      </c>
      <c r="I37" s="335">
        <f>L18</f>
        <v>17.7</v>
      </c>
      <c r="J37" s="11" t="s">
        <v>90</v>
      </c>
      <c r="K37" s="335">
        <f>L18</f>
        <v>17.7</v>
      </c>
      <c r="L37" s="8">
        <f>L32*L18</f>
        <v>42834</v>
      </c>
    </row>
    <row r="38" spans="2:12">
      <c r="F38" s="14" t="s">
        <v>6</v>
      </c>
      <c r="G38" s="15"/>
      <c r="H38" s="15">
        <f>H36+H37</f>
        <v>120560.37267080745</v>
      </c>
      <c r="I38" s="15"/>
      <c r="J38" s="16" t="s">
        <v>6</v>
      </c>
      <c r="K38" s="15"/>
      <c r="L38" s="17">
        <f>L36+L37</f>
        <v>120560.37267080745</v>
      </c>
    </row>
    <row r="39" spans="2:12">
      <c r="B39" s="1" t="s">
        <v>239</v>
      </c>
      <c r="C39" s="1">
        <f>C35+C37</f>
        <v>24033.627329192546</v>
      </c>
      <c r="F39" s="1"/>
    </row>
    <row r="40" spans="2:12">
      <c r="F40" s="29"/>
      <c r="G40" s="15"/>
      <c r="H40" s="15"/>
      <c r="I40" s="24" t="s">
        <v>114</v>
      </c>
      <c r="J40" s="15"/>
      <c r="K40" s="15"/>
      <c r="L40" s="17"/>
    </row>
    <row r="41" spans="2:12">
      <c r="B41" s="1" t="s">
        <v>240</v>
      </c>
      <c r="C41" s="11">
        <f>-C39*C85</f>
        <v>-4806.7254658385091</v>
      </c>
      <c r="F41" s="9"/>
      <c r="L41" s="10"/>
    </row>
    <row r="42" spans="2:12">
      <c r="F42" s="177" t="s">
        <v>121</v>
      </c>
      <c r="H42" s="2">
        <f>H31</f>
        <v>1720</v>
      </c>
      <c r="I42" s="1" t="s">
        <v>46</v>
      </c>
      <c r="J42" s="338">
        <f>'August-2'!K18</f>
        <v>18.63975155279503</v>
      </c>
      <c r="K42" s="2" t="s">
        <v>23</v>
      </c>
      <c r="L42" s="6">
        <f>H42*J42</f>
        <v>32060.37267080745</v>
      </c>
    </row>
    <row r="43" spans="2:12" ht="17" thickBot="1">
      <c r="B43" s="1" t="s">
        <v>241</v>
      </c>
      <c r="C43" s="1">
        <f>C39+C41</f>
        <v>19226.901863354036</v>
      </c>
      <c r="F43" s="177" t="s">
        <v>122</v>
      </c>
      <c r="H43" s="342">
        <f>L31-H31</f>
        <v>2580</v>
      </c>
      <c r="I43" s="1" t="s">
        <v>46</v>
      </c>
      <c r="J43" s="341">
        <f>L18</f>
        <v>17.7</v>
      </c>
      <c r="K43" s="2" t="s">
        <v>23</v>
      </c>
      <c r="L43" s="6">
        <f>H43*J43</f>
        <v>45666</v>
      </c>
    </row>
    <row r="44" spans="2:12">
      <c r="F44" s="5" t="s">
        <v>123</v>
      </c>
      <c r="H44" s="2">
        <f>H42+H43</f>
        <v>4300</v>
      </c>
      <c r="J44" s="36" t="s">
        <v>124</v>
      </c>
      <c r="K44" s="2" t="s">
        <v>23</v>
      </c>
      <c r="L44" s="340">
        <f>L42+L43</f>
        <v>77726.372670807454</v>
      </c>
    </row>
    <row r="45" spans="2:12">
      <c r="F45" s="13"/>
      <c r="G45" s="11"/>
      <c r="H45" s="11"/>
      <c r="I45" s="11"/>
      <c r="J45" s="112" t="s">
        <v>117</v>
      </c>
      <c r="K45" s="25" t="s">
        <v>23</v>
      </c>
      <c r="L45" s="339">
        <f>L44/L31</f>
        <v>18.075900621118013</v>
      </c>
    </row>
    <row r="46" spans="2:12" ht="19">
      <c r="B46" s="12" t="s">
        <v>72</v>
      </c>
      <c r="F46" s="1"/>
    </row>
    <row r="47" spans="2:12">
      <c r="F47" s="14"/>
      <c r="G47" s="15"/>
      <c r="H47" s="15"/>
      <c r="I47" s="24" t="s">
        <v>89</v>
      </c>
      <c r="J47" s="15"/>
      <c r="K47" s="15"/>
      <c r="L47" s="17"/>
    </row>
    <row r="48" spans="2:12">
      <c r="B48" s="1" t="s">
        <v>73</v>
      </c>
      <c r="C48" s="20">
        <f>L48</f>
        <v>90000</v>
      </c>
      <c r="F48" s="5" t="s">
        <v>94</v>
      </c>
      <c r="H48" s="1">
        <f>'August-2'!L48</f>
        <v>30000</v>
      </c>
      <c r="J48" s="1" t="s">
        <v>95</v>
      </c>
      <c r="L48" s="21">
        <f>H48+H49-L49</f>
        <v>90000</v>
      </c>
    </row>
    <row r="49" spans="2:12">
      <c r="B49" s="1" t="s">
        <v>242</v>
      </c>
      <c r="C49" s="1">
        <v>0</v>
      </c>
      <c r="F49" s="13" t="s">
        <v>65</v>
      </c>
      <c r="G49" s="11"/>
      <c r="H49" s="11">
        <f>C25</f>
        <v>117500</v>
      </c>
      <c r="I49" s="11"/>
      <c r="J49" s="11" t="s">
        <v>90</v>
      </c>
      <c r="K49" s="11"/>
      <c r="L49" s="8">
        <f>J25*L25</f>
        <v>57500</v>
      </c>
    </row>
    <row r="50" spans="2:12">
      <c r="F50" s="14" t="s">
        <v>6</v>
      </c>
      <c r="G50" s="15"/>
      <c r="H50" s="15">
        <f>H48+H49</f>
        <v>147500</v>
      </c>
      <c r="I50" s="15"/>
      <c r="J50" s="16" t="s">
        <v>6</v>
      </c>
      <c r="K50" s="15"/>
      <c r="L50" s="17">
        <f>L48+L49</f>
        <v>147500</v>
      </c>
    </row>
    <row r="51" spans="2:12">
      <c r="B51" s="26" t="s">
        <v>281</v>
      </c>
      <c r="C51" s="26">
        <f>C48+C49</f>
        <v>90000</v>
      </c>
      <c r="F51" s="1"/>
    </row>
    <row r="52" spans="2:12">
      <c r="F52" s="1"/>
    </row>
    <row r="53" spans="2:12">
      <c r="F53" s="1"/>
    </row>
    <row r="54" spans="2:12">
      <c r="F54" s="14"/>
      <c r="G54" s="15"/>
      <c r="H54" s="15"/>
      <c r="I54" s="24" t="s">
        <v>86</v>
      </c>
      <c r="J54" s="15"/>
      <c r="K54" s="15"/>
      <c r="L54" s="17"/>
    </row>
    <row r="55" spans="2:12">
      <c r="B55" s="1" t="s">
        <v>98</v>
      </c>
      <c r="C55" s="22">
        <f>-L55</f>
        <v>-65760</v>
      </c>
      <c r="F55" s="5" t="s">
        <v>94</v>
      </c>
      <c r="H55" s="1">
        <f>'August-2'!L55</f>
        <v>25760</v>
      </c>
      <c r="J55" s="1" t="s">
        <v>96</v>
      </c>
      <c r="L55" s="23">
        <f>H55+H56-L56</f>
        <v>65760</v>
      </c>
    </row>
    <row r="56" spans="2:12">
      <c r="B56" s="1" t="s">
        <v>11</v>
      </c>
      <c r="C56" s="1">
        <f>C31</f>
        <v>-3000</v>
      </c>
      <c r="F56" s="13" t="s">
        <v>97</v>
      </c>
      <c r="G56" s="11"/>
      <c r="H56" s="34">
        <f>L11</f>
        <v>80000</v>
      </c>
      <c r="I56" s="11"/>
      <c r="J56" s="11" t="s">
        <v>90</v>
      </c>
      <c r="K56" s="11"/>
      <c r="L56" s="8">
        <f>K59*H56</f>
        <v>40000</v>
      </c>
    </row>
    <row r="57" spans="2:12">
      <c r="B57" s="1" t="s">
        <v>125</v>
      </c>
      <c r="C57" s="1">
        <f>C32</f>
        <v>-6500</v>
      </c>
      <c r="F57" s="14" t="s">
        <v>6</v>
      </c>
      <c r="G57" s="15"/>
      <c r="H57" s="15">
        <f>H55+H56</f>
        <v>105760</v>
      </c>
      <c r="I57" s="15"/>
      <c r="J57" s="16" t="s">
        <v>6</v>
      </c>
      <c r="K57" s="15"/>
      <c r="L57" s="17">
        <f>L55+L56</f>
        <v>105760</v>
      </c>
    </row>
    <row r="58" spans="2:12">
      <c r="B58" s="1" t="s">
        <v>311</v>
      </c>
      <c r="C58" s="1">
        <f>-C13*ING</f>
        <v>-3000</v>
      </c>
    </row>
    <row r="59" spans="2:12">
      <c r="B59" s="1" t="s">
        <v>243</v>
      </c>
      <c r="C59" s="1">
        <f>-L12</f>
        <v>-1500</v>
      </c>
      <c r="F59" s="1"/>
      <c r="J59" s="29" t="s">
        <v>92</v>
      </c>
      <c r="K59" s="40">
        <v>0.5</v>
      </c>
      <c r="L59" s="17" t="s">
        <v>93</v>
      </c>
    </row>
    <row r="60" spans="2:12">
      <c r="B60" s="1" t="s">
        <v>252</v>
      </c>
      <c r="C60" s="1">
        <f>-L13</f>
        <v>-6000</v>
      </c>
      <c r="F60" s="1"/>
    </row>
    <row r="61" spans="2:12">
      <c r="B61" s="1" t="s">
        <v>158</v>
      </c>
      <c r="C61" s="1">
        <v>0</v>
      </c>
      <c r="F61" s="1"/>
    </row>
    <row r="62" spans="2:12">
      <c r="B62" s="1" t="s">
        <v>159</v>
      </c>
      <c r="C62" s="1">
        <v>0</v>
      </c>
      <c r="F62" s="1"/>
    </row>
    <row r="63" spans="2:12">
      <c r="B63" s="1" t="s">
        <v>282</v>
      </c>
      <c r="C63" s="1">
        <f>-'Development plan Q3'!I27</f>
        <v>-7500</v>
      </c>
      <c r="F63" s="1"/>
    </row>
    <row r="64" spans="2:12">
      <c r="B64" s="1" t="s">
        <v>312</v>
      </c>
      <c r="C64" s="1">
        <v>0</v>
      </c>
      <c r="F64" s="1"/>
    </row>
    <row r="65" spans="2:6">
      <c r="B65" s="1" t="s">
        <v>245</v>
      </c>
      <c r="C65" s="1">
        <f>C37</f>
        <v>-240</v>
      </c>
      <c r="F65" s="1"/>
    </row>
    <row r="66" spans="2:6">
      <c r="F66" s="1"/>
    </row>
    <row r="67" spans="2:6">
      <c r="B67" s="26" t="s">
        <v>76</v>
      </c>
      <c r="C67" s="26">
        <f>SUM(C55:C65)</f>
        <v>-93500</v>
      </c>
      <c r="F67" s="1"/>
    </row>
    <row r="68" spans="2:6">
      <c r="F68" s="1"/>
    </row>
    <row r="69" spans="2:6" ht="19">
      <c r="B69" s="304" t="s">
        <v>178</v>
      </c>
      <c r="F69" s="1"/>
    </row>
    <row r="70" spans="2:6">
      <c r="F70" s="1"/>
    </row>
    <row r="71" spans="2:6">
      <c r="B71" s="1" t="s">
        <v>281</v>
      </c>
      <c r="C71" s="1">
        <f>C51</f>
        <v>90000</v>
      </c>
      <c r="F71" s="1"/>
    </row>
    <row r="72" spans="2:6">
      <c r="F72" s="1"/>
    </row>
    <row r="73" spans="2:6">
      <c r="B73" s="1" t="s">
        <v>76</v>
      </c>
      <c r="C73" s="1">
        <f>SUM(C55:C65)</f>
        <v>-93500</v>
      </c>
      <c r="F73" s="1"/>
    </row>
    <row r="74" spans="2:6">
      <c r="F74" s="1"/>
    </row>
    <row r="75" spans="2:6">
      <c r="B75" s="26" t="s">
        <v>77</v>
      </c>
      <c r="C75" s="26">
        <f>C51+C73</f>
        <v>-3500</v>
      </c>
      <c r="F75" s="1"/>
    </row>
    <row r="77" spans="2:6">
      <c r="B77" s="1" t="s">
        <v>78</v>
      </c>
      <c r="C77" s="1">
        <f>'August-2'!C114</f>
        <v>26360</v>
      </c>
    </row>
    <row r="79" spans="2:6">
      <c r="B79" s="1" t="s">
        <v>79</v>
      </c>
      <c r="C79" s="232">
        <f>C75+C77</f>
        <v>22860</v>
      </c>
      <c r="F79" s="1"/>
    </row>
    <row r="80" spans="2:6">
      <c r="F80" s="1"/>
    </row>
    <row r="81" spans="2:12">
      <c r="F81" s="1"/>
    </row>
    <row r="82" spans="2:12">
      <c r="F82" s="1"/>
    </row>
    <row r="83" spans="2:12" ht="19">
      <c r="B83" s="12" t="s">
        <v>139</v>
      </c>
      <c r="C83" s="229"/>
      <c r="D83" s="12" t="s">
        <v>129</v>
      </c>
      <c r="F83" s="1"/>
    </row>
    <row r="84" spans="2:12" ht="19">
      <c r="D84" s="12"/>
    </row>
    <row r="85" spans="2:12">
      <c r="B85" s="31" t="s">
        <v>165</v>
      </c>
      <c r="C85" s="128">
        <f>TIS</f>
        <v>0.2</v>
      </c>
      <c r="D85" s="1" t="s">
        <v>130</v>
      </c>
      <c r="G85" s="2">
        <f>C91</f>
        <v>19226.901863354036</v>
      </c>
    </row>
    <row r="86" spans="2:12">
      <c r="C86" s="2"/>
      <c r="E86" s="36"/>
    </row>
    <row r="87" spans="2:12">
      <c r="B87" s="1" t="s">
        <v>166</v>
      </c>
      <c r="C87" s="2">
        <f>C39</f>
        <v>24033.627329192546</v>
      </c>
      <c r="D87" s="1" t="s">
        <v>167</v>
      </c>
      <c r="F87" s="1"/>
      <c r="G87" s="128">
        <v>0</v>
      </c>
    </row>
    <row r="88" spans="2:12">
      <c r="C88" s="2"/>
      <c r="F88" s="1"/>
      <c r="G88" s="2"/>
    </row>
    <row r="89" spans="2:12">
      <c r="B89" s="1" t="s">
        <v>141</v>
      </c>
      <c r="C89" s="2">
        <f>-C87*C85</f>
        <v>-4806.7254658385091</v>
      </c>
      <c r="D89" s="1" t="s">
        <v>131</v>
      </c>
      <c r="F89" s="1"/>
      <c r="G89" s="302">
        <f>C91*G87</f>
        <v>0</v>
      </c>
    </row>
    <row r="90" spans="2:12">
      <c r="C90" s="2"/>
      <c r="F90" s="1"/>
      <c r="G90" s="2"/>
    </row>
    <row r="91" spans="2:12">
      <c r="B91" s="1" t="s">
        <v>167</v>
      </c>
      <c r="C91" s="2">
        <f>C87+C89</f>
        <v>19226.901863354036</v>
      </c>
      <c r="D91" s="1" t="s">
        <v>185</v>
      </c>
      <c r="F91" s="1"/>
      <c r="G91" s="303">
        <f>C91-G89</f>
        <v>19226.901863354036</v>
      </c>
    </row>
    <row r="92" spans="2:12">
      <c r="F92" s="1"/>
    </row>
    <row r="93" spans="2:12" s="2" customFormat="1">
      <c r="B93" s="1"/>
      <c r="C93" s="1"/>
      <c r="D93" s="1"/>
      <c r="E93" s="1"/>
      <c r="G93" s="1"/>
      <c r="H93" s="1"/>
      <c r="I93" s="1"/>
      <c r="J93" s="1"/>
      <c r="K93" s="1"/>
      <c r="L93" s="1"/>
    </row>
    <row r="94" spans="2:12" s="2" customFormat="1" ht="21">
      <c r="B94" s="231" t="s">
        <v>80</v>
      </c>
      <c r="C94" s="1"/>
      <c r="D94" s="12"/>
      <c r="E94" s="1"/>
      <c r="G94" s="1"/>
      <c r="H94" s="1"/>
      <c r="I94" s="1"/>
      <c r="J94" s="1"/>
      <c r="K94" s="1"/>
      <c r="L94" s="1"/>
    </row>
    <row r="95" spans="2:12" s="2" customFormat="1">
      <c r="B95" s="1"/>
      <c r="C95" s="1"/>
      <c r="D95" s="1"/>
      <c r="E95" s="1"/>
      <c r="G95" s="1"/>
      <c r="H95" s="1"/>
      <c r="I95" s="1"/>
      <c r="J95" s="1"/>
      <c r="K95" s="1"/>
      <c r="L95" s="1"/>
    </row>
    <row r="96" spans="2:12" s="2" customFormat="1" ht="11" customHeight="1">
      <c r="B96" s="3"/>
      <c r="C96" s="4"/>
      <c r="D96" s="3"/>
      <c r="E96" s="4"/>
      <c r="G96" s="1"/>
      <c r="H96" s="1"/>
      <c r="I96" s="1"/>
      <c r="J96" s="1"/>
      <c r="K96" s="1"/>
      <c r="L96" s="1"/>
    </row>
    <row r="97" spans="2:12" s="2" customFormat="1" ht="19">
      <c r="B97" s="227" t="s">
        <v>60</v>
      </c>
      <c r="C97" s="228"/>
      <c r="D97" s="227" t="s">
        <v>84</v>
      </c>
      <c r="E97" s="6"/>
      <c r="G97" s="1"/>
      <c r="H97" s="1"/>
      <c r="I97" s="1"/>
      <c r="J97" s="1"/>
      <c r="K97" s="1"/>
      <c r="L97" s="1"/>
    </row>
    <row r="98" spans="2:12" s="2" customFormat="1" ht="11" customHeight="1">
      <c r="B98" s="7"/>
      <c r="C98" s="8"/>
      <c r="D98" s="7"/>
      <c r="E98" s="8"/>
      <c r="F98" s="30"/>
      <c r="G98" s="1"/>
      <c r="I98" s="31"/>
      <c r="J98" s="1"/>
      <c r="K98" s="1"/>
      <c r="L98" s="1"/>
    </row>
    <row r="99" spans="2:12" s="2" customFormat="1">
      <c r="B99" s="3"/>
      <c r="C99" s="4"/>
      <c r="D99" s="3"/>
      <c r="E99" s="4"/>
      <c r="F99" s="115"/>
      <c r="G99" s="116" t="s">
        <v>90</v>
      </c>
      <c r="H99" s="116"/>
      <c r="I99" s="117"/>
      <c r="J99" s="1"/>
      <c r="K99" s="1"/>
      <c r="L99" s="1"/>
    </row>
    <row r="100" spans="2:12" s="2" customFormat="1">
      <c r="B100" s="9" t="s">
        <v>248</v>
      </c>
      <c r="C100" s="122">
        <f>'Investment project Q2'!C18</f>
        <v>60000</v>
      </c>
      <c r="D100" s="9" t="s">
        <v>62</v>
      </c>
      <c r="E100" s="10">
        <f>NA*PAR</f>
        <v>10000</v>
      </c>
      <c r="F100" s="5"/>
      <c r="G100" s="31" t="s">
        <v>313</v>
      </c>
      <c r="I100" s="6" t="s">
        <v>147</v>
      </c>
      <c r="J100" s="1"/>
      <c r="K100" s="1"/>
      <c r="L100" s="1"/>
    </row>
    <row r="101" spans="2:12" s="2" customFormat="1">
      <c r="B101" s="9" t="s">
        <v>271</v>
      </c>
      <c r="C101" s="123">
        <f>-L14+'August-2'!C100</f>
        <v>-6000</v>
      </c>
      <c r="D101" s="9" t="s">
        <v>85</v>
      </c>
      <c r="E101" s="43">
        <f>G101+I101</f>
        <v>91499.199999999997</v>
      </c>
      <c r="F101" s="13" t="s">
        <v>23</v>
      </c>
      <c r="G101" s="11">
        <f>'August-2'!F100</f>
        <v>72272.298136645957</v>
      </c>
      <c r="H101" s="11"/>
      <c r="I101" s="118">
        <f>G91</f>
        <v>19226.901863354036</v>
      </c>
      <c r="J101" s="1"/>
      <c r="K101" s="1"/>
      <c r="L101" s="1"/>
    </row>
    <row r="102" spans="2:12" s="2" customFormat="1">
      <c r="B102" s="9"/>
      <c r="C102" s="122"/>
      <c r="D102" s="9"/>
      <c r="E102" s="10"/>
      <c r="G102" s="1"/>
      <c r="H102" s="1"/>
      <c r="I102" s="1"/>
      <c r="J102" s="1"/>
      <c r="K102" s="1"/>
      <c r="L102" s="1"/>
    </row>
    <row r="103" spans="2:12" s="2" customFormat="1">
      <c r="B103" s="9" t="s">
        <v>247</v>
      </c>
      <c r="C103" s="122">
        <f>C100+C101</f>
        <v>54000</v>
      </c>
      <c r="D103" s="9" t="s">
        <v>82</v>
      </c>
      <c r="E103" s="10">
        <f>E100+E101</f>
        <v>101499.2</v>
      </c>
      <c r="G103" s="1"/>
      <c r="H103" s="1"/>
      <c r="I103" s="1"/>
      <c r="J103" s="1"/>
      <c r="K103" s="1"/>
      <c r="L103" s="1"/>
    </row>
    <row r="104" spans="2:12" s="2" customFormat="1">
      <c r="B104" s="9"/>
      <c r="C104" s="122"/>
      <c r="D104" s="9"/>
      <c r="E104" s="10"/>
      <c r="G104" s="1"/>
      <c r="H104" s="1"/>
      <c r="I104" s="1"/>
      <c r="J104" s="1"/>
      <c r="K104" s="1"/>
      <c r="L104" s="1"/>
    </row>
    <row r="105" spans="2:12" s="2" customFormat="1">
      <c r="B105" s="177" t="s">
        <v>285</v>
      </c>
      <c r="C105" s="122">
        <f>-C63+'August-2'!C104</f>
        <v>18000</v>
      </c>
      <c r="D105" s="9"/>
      <c r="E105" s="10"/>
      <c r="G105" s="1"/>
      <c r="H105" s="1"/>
      <c r="I105" s="1"/>
      <c r="J105" s="1"/>
      <c r="K105" s="1"/>
      <c r="L105" s="1"/>
    </row>
    <row r="106" spans="2:12" s="2" customFormat="1">
      <c r="B106" s="5"/>
      <c r="C106" s="6"/>
      <c r="D106" s="9" t="s">
        <v>229</v>
      </c>
      <c r="E106" s="10">
        <f>'April-2'!E98</f>
        <v>48000</v>
      </c>
      <c r="G106" s="1"/>
      <c r="H106" s="1"/>
      <c r="I106" s="1"/>
      <c r="J106" s="1"/>
      <c r="K106" s="1"/>
      <c r="L106" s="1"/>
    </row>
    <row r="107" spans="2:12" s="2" customFormat="1">
      <c r="B107" s="192" t="s">
        <v>288</v>
      </c>
      <c r="C107" s="233">
        <f>C103+C105</f>
        <v>72000</v>
      </c>
      <c r="D107" s="9"/>
      <c r="E107" s="10"/>
      <c r="G107" s="1"/>
      <c r="H107" s="1"/>
      <c r="I107" s="1"/>
      <c r="J107" s="1"/>
      <c r="K107" s="1"/>
      <c r="L107" s="1"/>
    </row>
    <row r="108" spans="2:12" s="2" customFormat="1">
      <c r="B108" s="9"/>
      <c r="C108" s="122"/>
      <c r="D108" s="9"/>
      <c r="E108" s="10"/>
      <c r="G108" s="1"/>
      <c r="H108" s="1"/>
      <c r="I108" s="1"/>
      <c r="J108" s="1"/>
      <c r="K108" s="1"/>
      <c r="L108" s="1"/>
    </row>
    <row r="109" spans="2:12" s="2" customFormat="1">
      <c r="B109" s="9" t="s">
        <v>127</v>
      </c>
      <c r="C109" s="10">
        <f>L37</f>
        <v>42834</v>
      </c>
      <c r="D109" s="9" t="s">
        <v>135</v>
      </c>
      <c r="E109" s="41">
        <f>'August-2'!F108+'September-2'!C62+'September-2'!G89</f>
        <v>0</v>
      </c>
      <c r="G109" s="1"/>
      <c r="H109" s="1"/>
      <c r="I109" s="1"/>
      <c r="J109" s="1"/>
      <c r="K109" s="1"/>
      <c r="L109" s="1"/>
    </row>
    <row r="110" spans="2:12" s="2" customFormat="1">
      <c r="B110" s="9" t="s">
        <v>128</v>
      </c>
      <c r="C110" s="10">
        <f>L49</f>
        <v>57500</v>
      </c>
      <c r="D110" s="9" t="s">
        <v>86</v>
      </c>
      <c r="E110" s="10">
        <f>L56</f>
        <v>40000</v>
      </c>
      <c r="G110" s="1"/>
      <c r="H110" s="1"/>
      <c r="I110" s="1"/>
      <c r="J110" s="1"/>
      <c r="K110" s="1"/>
      <c r="L110" s="1"/>
    </row>
    <row r="111" spans="2:12" s="2" customFormat="1">
      <c r="B111" s="9" t="s">
        <v>357</v>
      </c>
      <c r="C111" s="8">
        <f>'August-2'!C110+'August-2'!C63/'August-2'!C118</f>
        <v>15000</v>
      </c>
      <c r="D111" s="9" t="s">
        <v>145</v>
      </c>
      <c r="E111" s="8">
        <f>'August-2'!F110-'September-2'!C89+'September-2'!C61</f>
        <v>20694.8</v>
      </c>
      <c r="G111" s="1"/>
      <c r="H111" s="1"/>
      <c r="I111" s="1"/>
      <c r="J111" s="1"/>
      <c r="K111" s="1"/>
      <c r="L111" s="1"/>
    </row>
    <row r="112" spans="2:12" s="2" customFormat="1">
      <c r="B112" s="9"/>
      <c r="C112" s="10"/>
      <c r="D112" s="1"/>
      <c r="E112" s="10"/>
      <c r="G112" s="1"/>
      <c r="H112" s="1"/>
      <c r="I112" s="1"/>
      <c r="J112" s="1"/>
      <c r="K112" s="1"/>
      <c r="L112" s="1"/>
    </row>
    <row r="113" spans="2:12" s="2" customFormat="1">
      <c r="B113" s="18" t="s">
        <v>290</v>
      </c>
      <c r="C113" s="19">
        <f>SUM(C109:C111)</f>
        <v>115334</v>
      </c>
      <c r="D113" s="26" t="s">
        <v>293</v>
      </c>
      <c r="E113" s="19">
        <f>SUM(E109:E111)</f>
        <v>60694.8</v>
      </c>
      <c r="G113" s="1"/>
      <c r="H113" s="1"/>
      <c r="I113" s="1"/>
      <c r="J113" s="1"/>
      <c r="K113" s="1"/>
      <c r="L113" s="1"/>
    </row>
    <row r="114" spans="2:12" s="2" customFormat="1">
      <c r="B114" s="9"/>
      <c r="C114" s="10"/>
      <c r="D114" s="1"/>
      <c r="E114" s="10"/>
      <c r="G114" s="1"/>
      <c r="H114" s="1"/>
      <c r="I114" s="1"/>
      <c r="J114" s="1"/>
      <c r="K114" s="1"/>
      <c r="L114" s="1"/>
    </row>
    <row r="115" spans="2:12" s="2" customFormat="1">
      <c r="B115" s="18" t="s">
        <v>63</v>
      </c>
      <c r="C115" s="28">
        <f>'September-2'!C79</f>
        <v>22860</v>
      </c>
      <c r="E115" s="6"/>
      <c r="G115" s="1"/>
      <c r="H115" s="1"/>
      <c r="I115" s="1"/>
      <c r="J115" s="1"/>
      <c r="K115" s="1"/>
      <c r="L115" s="1"/>
    </row>
    <row r="116" spans="2:12">
      <c r="B116" s="9"/>
      <c r="C116" s="10"/>
      <c r="D116" s="9"/>
      <c r="E116" s="10"/>
    </row>
    <row r="117" spans="2:12">
      <c r="B117" s="18" t="s">
        <v>88</v>
      </c>
      <c r="C117" s="19">
        <f>C110+C115+C109+C103+C105+C111</f>
        <v>210194</v>
      </c>
      <c r="D117" s="18" t="s">
        <v>87</v>
      </c>
      <c r="E117" s="19">
        <f>E103+E110+E111+E109+E106</f>
        <v>210194</v>
      </c>
    </row>
    <row r="118" spans="2:12">
      <c r="B118" s="7"/>
      <c r="C118" s="8"/>
      <c r="D118" s="7"/>
      <c r="E118" s="8"/>
    </row>
    <row r="121" spans="2:12" ht="19">
      <c r="B121" s="12" t="s">
        <v>316</v>
      </c>
      <c r="E121" s="12" t="s">
        <v>316</v>
      </c>
    </row>
    <row r="123" spans="2:12">
      <c r="B123" s="1" t="s">
        <v>173</v>
      </c>
      <c r="C123" s="2">
        <f>'Financial analysis September-2'!O99</f>
        <v>60334</v>
      </c>
      <c r="E123" s="1" t="s">
        <v>249</v>
      </c>
      <c r="I123" s="1">
        <f>C35</f>
        <v>24273.627329192546</v>
      </c>
    </row>
    <row r="124" spans="2:12">
      <c r="C124" s="2"/>
      <c r="E124" s="1" t="s">
        <v>301</v>
      </c>
      <c r="I124" s="11">
        <f>L14</f>
        <v>1000</v>
      </c>
    </row>
    <row r="125" spans="2:12">
      <c r="B125" s="26" t="s">
        <v>381</v>
      </c>
      <c r="C125" s="127">
        <f>'Financial analysis September-2'!O99-'Financial analysis September-2'!N99</f>
        <v>24033.627329192546</v>
      </c>
    </row>
    <row r="126" spans="2:12">
      <c r="C126" s="2"/>
      <c r="E126" s="26" t="s">
        <v>29</v>
      </c>
      <c r="I126" s="26">
        <f>I123+I124</f>
        <v>25273.627329192546</v>
      </c>
    </row>
    <row r="127" spans="2:12">
      <c r="B127" s="1" t="s">
        <v>249</v>
      </c>
      <c r="C127" s="2">
        <f>C35</f>
        <v>24273.627329192546</v>
      </c>
    </row>
    <row r="128" spans="2:12">
      <c r="B128" s="1" t="s">
        <v>251</v>
      </c>
      <c r="C128" s="25">
        <f>L14</f>
        <v>1000</v>
      </c>
      <c r="E128" s="1" t="s">
        <v>294</v>
      </c>
      <c r="I128" s="1">
        <f>C37</f>
        <v>-240</v>
      </c>
    </row>
    <row r="129" spans="2:9">
      <c r="C129" s="2"/>
      <c r="E129" s="1" t="s">
        <v>295</v>
      </c>
      <c r="I129" s="11">
        <f>C41</f>
        <v>-4806.7254658385091</v>
      </c>
    </row>
    <row r="130" spans="2:9">
      <c r="B130" s="26" t="s">
        <v>29</v>
      </c>
      <c r="C130" s="127">
        <f>C127+C128</f>
        <v>25273.627329192546</v>
      </c>
    </row>
    <row r="131" spans="2:9">
      <c r="C131" s="2"/>
      <c r="E131" s="26" t="s">
        <v>296</v>
      </c>
      <c r="F131" s="127"/>
      <c r="G131" s="26"/>
      <c r="H131" s="26"/>
      <c r="I131" s="26">
        <f>I126+I128+I129</f>
        <v>20226.901863354036</v>
      </c>
    </row>
    <row r="132" spans="2:9" ht="19">
      <c r="B132" s="87" t="s">
        <v>184</v>
      </c>
      <c r="C132" s="126">
        <f>C130-C125</f>
        <v>1240</v>
      </c>
    </row>
    <row r="133" spans="2:9">
      <c r="C133" s="2"/>
      <c r="E133" s="1" t="s">
        <v>297</v>
      </c>
      <c r="I133" s="1">
        <f>-'Financial analysis September-2'!$O$129</f>
        <v>-16226.901863354033</v>
      </c>
    </row>
    <row r="134" spans="2:9">
      <c r="B134" s="1" t="s">
        <v>314</v>
      </c>
      <c r="C134" s="2">
        <f>'August-2'!C110/'August-2'!C118</f>
        <v>3000</v>
      </c>
    </row>
    <row r="135" spans="2:9">
      <c r="B135" s="1" t="s">
        <v>176</v>
      </c>
      <c r="C135" s="2">
        <f>C61</f>
        <v>0</v>
      </c>
      <c r="E135" s="26" t="s">
        <v>298</v>
      </c>
      <c r="I135" s="26">
        <f>I131+I133</f>
        <v>4000.0000000000036</v>
      </c>
    </row>
    <row r="136" spans="2:9">
      <c r="B136" s="1" t="s">
        <v>253</v>
      </c>
      <c r="C136" s="25">
        <f>C37</f>
        <v>-240</v>
      </c>
    </row>
    <row r="137" spans="2:9">
      <c r="C137" s="2"/>
      <c r="E137" s="1" t="s">
        <v>299</v>
      </c>
      <c r="I137" s="1">
        <v>0</v>
      </c>
    </row>
    <row r="138" spans="2:9">
      <c r="B138" s="26" t="s">
        <v>254</v>
      </c>
      <c r="C138" s="127">
        <f>C132+C136+C135+C134</f>
        <v>4000</v>
      </c>
      <c r="E138" s="1" t="s">
        <v>300</v>
      </c>
      <c r="I138" s="11">
        <f>C140</f>
        <v>-7500</v>
      </c>
    </row>
    <row r="139" spans="2:9">
      <c r="C139" s="2"/>
    </row>
    <row r="140" spans="2:9">
      <c r="B140" s="1" t="s">
        <v>286</v>
      </c>
      <c r="C140" s="25">
        <f>C63</f>
        <v>-7500</v>
      </c>
      <c r="E140" s="26" t="s">
        <v>256</v>
      </c>
      <c r="F140" s="127"/>
      <c r="G140" s="26"/>
      <c r="H140" s="26"/>
      <c r="I140" s="26">
        <f>I135+I137+I138</f>
        <v>-3499.9999999999964</v>
      </c>
    </row>
    <row r="141" spans="2:9">
      <c r="C141" s="2"/>
    </row>
    <row r="142" spans="2:9">
      <c r="B142" s="26" t="s">
        <v>256</v>
      </c>
      <c r="C142" s="127">
        <f>C138+C140</f>
        <v>-3500</v>
      </c>
    </row>
    <row r="143" spans="2:9">
      <c r="C143" s="2"/>
    </row>
    <row r="144" spans="2:9">
      <c r="B144" s="1" t="s">
        <v>257</v>
      </c>
      <c r="C144" s="2">
        <v>0</v>
      </c>
      <c r="E144" s="1" t="s">
        <v>167</v>
      </c>
      <c r="I144" s="1">
        <f>C43</f>
        <v>19226.901863354036</v>
      </c>
    </row>
    <row r="145" spans="2:9">
      <c r="C145" s="2"/>
    </row>
    <row r="146" spans="2:9">
      <c r="B146" s="1" t="s">
        <v>177</v>
      </c>
      <c r="C146" s="25">
        <f>C62</f>
        <v>0</v>
      </c>
      <c r="E146" s="1" t="s">
        <v>301</v>
      </c>
      <c r="I146" s="11">
        <f>I124</f>
        <v>1000</v>
      </c>
    </row>
    <row r="147" spans="2:9">
      <c r="C147" s="2"/>
    </row>
    <row r="148" spans="2:9">
      <c r="B148" s="26" t="s">
        <v>178</v>
      </c>
      <c r="C148" s="127">
        <f>C142+C144</f>
        <v>-3500</v>
      </c>
      <c r="E148" s="26" t="s">
        <v>296</v>
      </c>
      <c r="I148" s="26">
        <f>I144+I146</f>
        <v>20226.901863354036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3AD2-60C7-2B4A-B21E-21C0B1BF63DC}">
  <dimension ref="B3:O165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5" customWidth="1"/>
    <col min="7" max="15" width="10.83203125" style="89"/>
  </cols>
  <sheetData>
    <row r="3" spans="2:15" ht="19">
      <c r="B3" s="12"/>
    </row>
    <row r="4" spans="2:15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247"/>
      <c r="N4" s="247"/>
      <c r="O4" s="247"/>
    </row>
    <row r="5" spans="2:15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248" t="s">
        <v>279</v>
      </c>
      <c r="N5" s="248" t="s">
        <v>280</v>
      </c>
      <c r="O5" s="248" t="s">
        <v>147</v>
      </c>
    </row>
    <row r="6" spans="2:15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249"/>
      <c r="N6" s="249"/>
      <c r="O6" s="249"/>
    </row>
    <row r="7" spans="2:15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247"/>
      <c r="N7" s="247"/>
      <c r="O7" s="247"/>
    </row>
    <row r="8" spans="2:15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250">
        <f>'July-2'!C24</f>
        <v>99500</v>
      </c>
      <c r="N8" s="250">
        <f>'August-2'!C24</f>
        <v>84000</v>
      </c>
      <c r="O8" s="250">
        <f>'September-2'!C25</f>
        <v>117500</v>
      </c>
    </row>
    <row r="9" spans="2:15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251"/>
      <c r="N9" s="251"/>
      <c r="O9" s="251"/>
    </row>
    <row r="10" spans="2:15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252">
        <f>'July-2'!C26</f>
        <v>-65950.478418919476</v>
      </c>
      <c r="N10" s="252">
        <f>'August-2'!C26</f>
        <v>-55191.566492690647</v>
      </c>
      <c r="O10" s="252">
        <f>'September-2'!C27</f>
        <v>-77726.372670807454</v>
      </c>
    </row>
    <row r="11" spans="2:15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251"/>
      <c r="N11" s="251"/>
      <c r="O11" s="251"/>
    </row>
    <row r="12" spans="2:15">
      <c r="B12" s="71" t="s">
        <v>108</v>
      </c>
      <c r="C12" s="100">
        <f>C8+C10</f>
        <v>2000</v>
      </c>
      <c r="D12" s="100">
        <f t="shared" ref="D12:N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250">
        <f t="shared" si="0"/>
        <v>33549.521581080524</v>
      </c>
      <c r="N12" s="250">
        <f t="shared" si="0"/>
        <v>28808.433507309353</v>
      </c>
      <c r="O12" s="250">
        <f t="shared" ref="O12" si="1">O8+O10</f>
        <v>39773.627329192546</v>
      </c>
    </row>
    <row r="13" spans="2:15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251"/>
      <c r="N13" s="251"/>
      <c r="O13" s="251"/>
    </row>
    <row r="14" spans="2:15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250">
        <f>'July-2'!C30</f>
        <v>-3000</v>
      </c>
      <c r="N14" s="250">
        <f>'August-2'!C30</f>
        <v>-3000</v>
      </c>
      <c r="O14" s="250">
        <f>'September-2'!C31</f>
        <v>-3000</v>
      </c>
    </row>
    <row r="15" spans="2:15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250">
        <f>'July-2'!C31</f>
        <v>-3900</v>
      </c>
      <c r="N15" s="250">
        <f>'August-2'!C31</f>
        <v>-3900</v>
      </c>
      <c r="O15" s="250">
        <f>'September-2'!C32</f>
        <v>-6500</v>
      </c>
    </row>
    <row r="16" spans="2:15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250">
        <f>'July-2'!C32</f>
        <v>-1500</v>
      </c>
      <c r="N16" s="250">
        <f>'August-2'!C32</f>
        <v>-1500</v>
      </c>
      <c r="O16" s="250">
        <f>'September-2'!C33</f>
        <v>-6000</v>
      </c>
    </row>
    <row r="17" spans="2:15">
      <c r="B17" s="71"/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251"/>
      <c r="N17" s="251"/>
      <c r="O17" s="251"/>
    </row>
    <row r="18" spans="2:15">
      <c r="B18" s="71" t="s">
        <v>181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6">
        <f t="shared" si="2"/>
        <v>4200</v>
      </c>
      <c r="H18" s="136">
        <f t="shared" ref="H18:N18" si="3">H12+H14+H15+H16</f>
        <v>4700</v>
      </c>
      <c r="I18" s="136">
        <f t="shared" si="3"/>
        <v>1900</v>
      </c>
      <c r="J18" s="181">
        <f t="shared" si="3"/>
        <v>6100</v>
      </c>
      <c r="K18" s="181">
        <f t="shared" si="3"/>
        <v>5834.5238095238092</v>
      </c>
      <c r="L18" s="181">
        <f t="shared" si="3"/>
        <v>16347.893772893767</v>
      </c>
      <c r="M18" s="250">
        <f t="shared" si="3"/>
        <v>25149.521581080524</v>
      </c>
      <c r="N18" s="250">
        <f t="shared" si="3"/>
        <v>20408.433507309353</v>
      </c>
      <c r="O18" s="250">
        <f t="shared" ref="O18" si="4">O12+O14+O15+O16</f>
        <v>24273.627329192546</v>
      </c>
    </row>
    <row r="19" spans="2:15">
      <c r="B19" s="71" t="s">
        <v>161</v>
      </c>
      <c r="C19" s="99"/>
      <c r="D19" s="99"/>
      <c r="E19" s="99"/>
      <c r="F19" s="99"/>
      <c r="G19" s="138">
        <f>'January-2'!D14</f>
        <v>-4000</v>
      </c>
      <c r="H19" s="138"/>
      <c r="I19" s="138"/>
      <c r="J19" s="183"/>
      <c r="K19" s="183"/>
      <c r="L19" s="183"/>
      <c r="M19" s="252"/>
      <c r="N19" s="252"/>
      <c r="O19" s="252"/>
    </row>
    <row r="20" spans="2:15">
      <c r="B20" s="71"/>
      <c r="C20" s="100"/>
      <c r="D20" s="100"/>
      <c r="E20" s="100"/>
      <c r="F20" s="100"/>
      <c r="G20" s="136"/>
      <c r="H20" s="136"/>
      <c r="I20" s="136"/>
      <c r="J20" s="181"/>
      <c r="K20" s="181"/>
      <c r="L20" s="181"/>
      <c r="M20" s="250"/>
      <c r="N20" s="250"/>
      <c r="O20" s="250"/>
    </row>
    <row r="21" spans="2:15">
      <c r="B21" s="71" t="s">
        <v>144</v>
      </c>
      <c r="C21" s="100">
        <f>C18+C19</f>
        <v>1000</v>
      </c>
      <c r="D21" s="100">
        <f t="shared" ref="D21:N21" si="5">D18+D19</f>
        <v>2000</v>
      </c>
      <c r="E21" s="100">
        <f t="shared" si="5"/>
        <v>3700</v>
      </c>
      <c r="F21" s="100">
        <f t="shared" si="5"/>
        <v>6700</v>
      </c>
      <c r="G21" s="139">
        <f t="shared" si="5"/>
        <v>200</v>
      </c>
      <c r="H21" s="139">
        <f t="shared" si="5"/>
        <v>4700</v>
      </c>
      <c r="I21" s="139">
        <f t="shared" si="5"/>
        <v>1900</v>
      </c>
      <c r="J21" s="184">
        <f t="shared" si="5"/>
        <v>6100</v>
      </c>
      <c r="K21" s="184">
        <f t="shared" si="5"/>
        <v>5834.5238095238092</v>
      </c>
      <c r="L21" s="184">
        <f t="shared" si="5"/>
        <v>16347.893772893767</v>
      </c>
      <c r="M21" s="253">
        <f t="shared" si="5"/>
        <v>25149.521581080524</v>
      </c>
      <c r="N21" s="253">
        <f t="shared" si="5"/>
        <v>20408.433507309353</v>
      </c>
      <c r="O21" s="253">
        <f t="shared" ref="O21" si="6">O18+O19</f>
        <v>24273.627329192546</v>
      </c>
    </row>
    <row r="22" spans="2:15">
      <c r="B22" s="71"/>
      <c r="C22" s="100"/>
      <c r="D22" s="100"/>
      <c r="E22" s="100"/>
      <c r="F22" s="100"/>
      <c r="G22" s="139"/>
      <c r="H22" s="139"/>
      <c r="I22" s="139"/>
      <c r="J22" s="184"/>
      <c r="K22" s="184"/>
      <c r="L22" s="184"/>
      <c r="M22" s="253"/>
      <c r="N22" s="253"/>
      <c r="O22" s="253"/>
    </row>
    <row r="23" spans="2:15">
      <c r="B23" s="71" t="s">
        <v>263</v>
      </c>
      <c r="C23" s="99"/>
      <c r="D23" s="99"/>
      <c r="E23" s="99"/>
      <c r="F23" s="99"/>
      <c r="G23" s="140"/>
      <c r="H23" s="140"/>
      <c r="I23" s="140"/>
      <c r="J23" s="185">
        <f>'April-2'!D36</f>
        <v>-240</v>
      </c>
      <c r="K23" s="185">
        <f>'May-2'!D36</f>
        <v>-240</v>
      </c>
      <c r="L23" s="185">
        <f>'June-2'!D36</f>
        <v>-240</v>
      </c>
      <c r="M23" s="254">
        <f>'July-2'!C36</f>
        <v>-240</v>
      </c>
      <c r="N23" s="254">
        <f>'August-2'!C36</f>
        <v>-240</v>
      </c>
      <c r="O23" s="254">
        <f>'September-2'!C37</f>
        <v>-240</v>
      </c>
    </row>
    <row r="24" spans="2:15">
      <c r="B24" s="71"/>
      <c r="C24" s="100"/>
      <c r="D24" s="100"/>
      <c r="E24" s="100"/>
      <c r="F24" s="100"/>
      <c r="G24" s="139"/>
      <c r="H24" s="139"/>
      <c r="I24" s="139"/>
      <c r="J24" s="184"/>
      <c r="K24" s="184"/>
      <c r="L24" s="184"/>
      <c r="M24" s="253"/>
      <c r="N24" s="253"/>
      <c r="O24" s="253"/>
    </row>
    <row r="25" spans="2:15">
      <c r="B25" s="71" t="s">
        <v>264</v>
      </c>
      <c r="C25" s="100"/>
      <c r="D25" s="100"/>
      <c r="E25" s="100"/>
      <c r="F25" s="100"/>
      <c r="G25" s="139"/>
      <c r="H25" s="139"/>
      <c r="I25" s="139"/>
      <c r="J25" s="184">
        <f t="shared" ref="J25:O25" si="7">J21+J23</f>
        <v>5860</v>
      </c>
      <c r="K25" s="184">
        <f t="shared" si="7"/>
        <v>5594.5238095238092</v>
      </c>
      <c r="L25" s="184">
        <f t="shared" si="7"/>
        <v>16107.893772893767</v>
      </c>
      <c r="M25" s="253">
        <f t="shared" si="7"/>
        <v>24909.521581080524</v>
      </c>
      <c r="N25" s="253">
        <f t="shared" si="7"/>
        <v>20168.433507309353</v>
      </c>
      <c r="O25" s="253">
        <f t="shared" si="7"/>
        <v>24033.627329192546</v>
      </c>
    </row>
    <row r="26" spans="2:15">
      <c r="B26" s="71"/>
      <c r="C26" s="100"/>
      <c r="D26" s="100"/>
      <c r="E26" s="100"/>
      <c r="F26" s="100"/>
      <c r="G26" s="137"/>
      <c r="H26" s="137"/>
      <c r="I26" s="137"/>
      <c r="J26" s="182"/>
      <c r="K26" s="182"/>
      <c r="L26" s="182"/>
      <c r="M26" s="251"/>
      <c r="N26" s="251"/>
      <c r="O26" s="251"/>
    </row>
    <row r="27" spans="2:15">
      <c r="B27" s="71" t="s">
        <v>265</v>
      </c>
      <c r="C27" s="99">
        <f t="shared" ref="C27:I27" si="8">-C21*TIS</f>
        <v>-200</v>
      </c>
      <c r="D27" s="99">
        <f t="shared" si="8"/>
        <v>-400</v>
      </c>
      <c r="E27" s="99">
        <f t="shared" si="8"/>
        <v>-740</v>
      </c>
      <c r="F27" s="99">
        <f t="shared" si="8"/>
        <v>-1340</v>
      </c>
      <c r="G27" s="140">
        <f t="shared" si="8"/>
        <v>-40</v>
      </c>
      <c r="H27" s="140">
        <f t="shared" si="8"/>
        <v>-940</v>
      </c>
      <c r="I27" s="140">
        <f t="shared" si="8"/>
        <v>-380</v>
      </c>
      <c r="J27" s="185">
        <f>'April-2'!D40</f>
        <v>-1172</v>
      </c>
      <c r="K27" s="185">
        <f>'May-2'!D40</f>
        <v>-1118.9047619047619</v>
      </c>
      <c r="L27" s="185">
        <f>'June-2'!D40</f>
        <v>-3221.5787545787534</v>
      </c>
      <c r="M27" s="254">
        <f>'July-2'!C40</f>
        <v>-4981.9043162161051</v>
      </c>
      <c r="N27" s="254">
        <f>'August-2'!C40</f>
        <v>-4033.6867014618711</v>
      </c>
      <c r="O27" s="254">
        <f>'September-2'!C41</f>
        <v>-4806.7254658385091</v>
      </c>
    </row>
    <row r="28" spans="2:15">
      <c r="B28" s="71"/>
      <c r="C28" s="100"/>
      <c r="D28" s="100"/>
      <c r="E28" s="100"/>
      <c r="F28" s="100"/>
      <c r="G28" s="137"/>
      <c r="H28" s="137"/>
      <c r="I28" s="137"/>
      <c r="J28" s="182"/>
      <c r="K28" s="182"/>
      <c r="L28" s="182"/>
      <c r="M28" s="251"/>
      <c r="N28" s="251"/>
      <c r="O28" s="251"/>
    </row>
    <row r="29" spans="2:15">
      <c r="B29" s="71" t="s">
        <v>167</v>
      </c>
      <c r="C29" s="100">
        <f>C21+C27</f>
        <v>800</v>
      </c>
      <c r="D29" s="100">
        <f t="shared" ref="D29:I29" si="9">D21+D27</f>
        <v>1600</v>
      </c>
      <c r="E29" s="100">
        <f t="shared" si="9"/>
        <v>2960</v>
      </c>
      <c r="F29" s="100">
        <f t="shared" si="9"/>
        <v>5360</v>
      </c>
      <c r="G29" s="139">
        <f t="shared" si="9"/>
        <v>160</v>
      </c>
      <c r="H29" s="139">
        <f t="shared" si="9"/>
        <v>3760</v>
      </c>
      <c r="I29" s="139">
        <f t="shared" si="9"/>
        <v>1520</v>
      </c>
      <c r="J29" s="184">
        <f t="shared" ref="J29:O29" si="10">J25+J27</f>
        <v>4688</v>
      </c>
      <c r="K29" s="184">
        <f t="shared" si="10"/>
        <v>4475.6190476190477</v>
      </c>
      <c r="L29" s="184">
        <f t="shared" si="10"/>
        <v>12886.315018315014</v>
      </c>
      <c r="M29" s="253">
        <f t="shared" si="10"/>
        <v>19927.617264864421</v>
      </c>
      <c r="N29" s="253">
        <f t="shared" si="10"/>
        <v>16134.746805847482</v>
      </c>
      <c r="O29" s="253">
        <f t="shared" si="10"/>
        <v>19226.901863354036</v>
      </c>
    </row>
    <row r="30" spans="2:15">
      <c r="B30" s="53"/>
      <c r="C30" s="104"/>
      <c r="D30" s="104"/>
      <c r="E30" s="104"/>
      <c r="F30" s="104"/>
      <c r="G30" s="135"/>
      <c r="H30" s="135"/>
      <c r="I30" s="135"/>
      <c r="J30" s="180"/>
      <c r="K30" s="180"/>
      <c r="L30" s="180"/>
      <c r="M30" s="249"/>
      <c r="N30" s="249"/>
      <c r="O30" s="249"/>
    </row>
    <row r="46" spans="2:15">
      <c r="B46" s="50"/>
      <c r="C46" s="102"/>
      <c r="D46" s="102"/>
      <c r="E46" s="102"/>
      <c r="F46" s="102"/>
      <c r="G46" s="133"/>
      <c r="H46" s="133"/>
      <c r="I46" s="133"/>
      <c r="J46" s="178"/>
      <c r="K46" s="178"/>
      <c r="L46" s="178"/>
      <c r="M46" s="247"/>
      <c r="N46" s="247"/>
      <c r="O46" s="247"/>
    </row>
    <row r="47" spans="2:15" ht="19">
      <c r="B47" s="80" t="s">
        <v>287</v>
      </c>
      <c r="C47" s="103" t="str">
        <f>C5</f>
        <v>September</v>
      </c>
      <c r="D47" s="103" t="str">
        <f t="shared" ref="D47:E47" si="11">D5</f>
        <v>October</v>
      </c>
      <c r="E47" s="103" t="str">
        <f t="shared" si="11"/>
        <v>November</v>
      </c>
      <c r="F47" s="103" t="str">
        <f>F5</f>
        <v>December</v>
      </c>
      <c r="G47" s="134" t="str">
        <f>G5</f>
        <v>January</v>
      </c>
      <c r="H47" s="134" t="str">
        <f t="shared" ref="H47:N47" si="12">H5</f>
        <v>February</v>
      </c>
      <c r="I47" s="134" t="str">
        <f t="shared" si="12"/>
        <v>March</v>
      </c>
      <c r="J47" s="179" t="str">
        <f t="shared" si="12"/>
        <v>April</v>
      </c>
      <c r="K47" s="179" t="str">
        <f t="shared" si="12"/>
        <v>May</v>
      </c>
      <c r="L47" s="179" t="str">
        <f t="shared" si="12"/>
        <v>June</v>
      </c>
      <c r="M47" s="248" t="str">
        <f t="shared" si="12"/>
        <v>July</v>
      </c>
      <c r="N47" s="248" t="str">
        <f t="shared" si="12"/>
        <v>August</v>
      </c>
      <c r="O47" s="248" t="str">
        <f t="shared" ref="O47" si="13">O5</f>
        <v>September</v>
      </c>
    </row>
    <row r="48" spans="2:15">
      <c r="B48" s="53"/>
      <c r="C48" s="104"/>
      <c r="D48" s="104"/>
      <c r="E48" s="104"/>
      <c r="F48" s="104"/>
      <c r="G48" s="135"/>
      <c r="H48" s="135"/>
      <c r="I48" s="135"/>
      <c r="J48" s="180"/>
      <c r="K48" s="180"/>
      <c r="L48" s="180"/>
      <c r="M48" s="249"/>
      <c r="N48" s="249"/>
      <c r="O48" s="249"/>
    </row>
    <row r="49" spans="2:15">
      <c r="B49" s="50"/>
      <c r="C49" s="102"/>
      <c r="D49" s="102"/>
      <c r="E49" s="102"/>
      <c r="F49" s="102"/>
      <c r="G49" s="133"/>
      <c r="H49" s="133"/>
      <c r="I49" s="133"/>
      <c r="J49" s="178"/>
      <c r="K49" s="178"/>
      <c r="L49" s="178"/>
      <c r="M49" s="247"/>
      <c r="N49" s="247"/>
      <c r="O49" s="247"/>
    </row>
    <row r="50" spans="2:15">
      <c r="B50" s="71" t="s">
        <v>65</v>
      </c>
      <c r="C50" s="105">
        <f t="shared" ref="C50:N50" si="14">C8/C$8</f>
        <v>1</v>
      </c>
      <c r="D50" s="105">
        <f t="shared" si="14"/>
        <v>1</v>
      </c>
      <c r="E50" s="105">
        <f t="shared" si="14"/>
        <v>1</v>
      </c>
      <c r="F50" s="105">
        <f t="shared" si="14"/>
        <v>1</v>
      </c>
      <c r="G50" s="141">
        <f t="shared" si="14"/>
        <v>1</v>
      </c>
      <c r="H50" s="141">
        <f t="shared" si="14"/>
        <v>1</v>
      </c>
      <c r="I50" s="141">
        <f t="shared" si="14"/>
        <v>1</v>
      </c>
      <c r="J50" s="186">
        <f t="shared" si="14"/>
        <v>1</v>
      </c>
      <c r="K50" s="186">
        <f t="shared" si="14"/>
        <v>1</v>
      </c>
      <c r="L50" s="186">
        <f t="shared" si="14"/>
        <v>1</v>
      </c>
      <c r="M50" s="255">
        <f t="shared" si="14"/>
        <v>1</v>
      </c>
      <c r="N50" s="255">
        <f t="shared" si="14"/>
        <v>1</v>
      </c>
      <c r="O50" s="255">
        <f t="shared" ref="O50" si="15">O8/O$8</f>
        <v>1</v>
      </c>
    </row>
    <row r="51" spans="2:15">
      <c r="B51" s="71"/>
      <c r="C51" s="100"/>
      <c r="D51" s="100"/>
      <c r="E51" s="100"/>
      <c r="F51" s="100"/>
      <c r="G51" s="136"/>
      <c r="H51" s="136"/>
      <c r="I51" s="136"/>
      <c r="J51" s="181"/>
      <c r="K51" s="181"/>
      <c r="L51" s="181"/>
      <c r="M51" s="250"/>
      <c r="N51" s="250"/>
      <c r="O51" s="250"/>
    </row>
    <row r="52" spans="2:15">
      <c r="B52" s="71" t="s">
        <v>187</v>
      </c>
      <c r="C52" s="106">
        <f t="shared" ref="C52:N52" si="16">C10/C$8</f>
        <v>-0.66666666666666663</v>
      </c>
      <c r="D52" s="106">
        <f t="shared" si="16"/>
        <v>-0.72727272727272729</v>
      </c>
      <c r="E52" s="106">
        <f t="shared" si="16"/>
        <v>-0.7407407407407407</v>
      </c>
      <c r="F52" s="106">
        <f t="shared" si="16"/>
        <v>-0.72222222222222221</v>
      </c>
      <c r="G52" s="142">
        <f t="shared" si="16"/>
        <v>-0.72727272727272729</v>
      </c>
      <c r="H52" s="142">
        <f t="shared" si="16"/>
        <v>-0.72463768115942029</v>
      </c>
      <c r="I52" s="142">
        <f t="shared" si="16"/>
        <v>-0.72727272727272729</v>
      </c>
      <c r="J52" s="187">
        <f t="shared" si="16"/>
        <v>-0.72380952380952379</v>
      </c>
      <c r="K52" s="187">
        <f t="shared" si="16"/>
        <v>-0.76471861471861469</v>
      </c>
      <c r="L52" s="187">
        <f t="shared" si="16"/>
        <v>-0.68870573870573881</v>
      </c>
      <c r="M52" s="256">
        <f t="shared" si="16"/>
        <v>-0.66281887858210531</v>
      </c>
      <c r="N52" s="256">
        <f t="shared" si="16"/>
        <v>-0.65704245824631724</v>
      </c>
      <c r="O52" s="256">
        <f t="shared" ref="O52" si="17">O10/O$8</f>
        <v>-0.66150104400687193</v>
      </c>
    </row>
    <row r="53" spans="2:15">
      <c r="B53" s="71"/>
      <c r="C53" s="100"/>
      <c r="D53" s="100"/>
      <c r="E53" s="100"/>
      <c r="F53" s="100"/>
      <c r="G53" s="136"/>
      <c r="H53" s="136"/>
      <c r="I53" s="136"/>
      <c r="J53" s="181"/>
      <c r="K53" s="181"/>
      <c r="L53" s="181"/>
      <c r="M53" s="250"/>
      <c r="N53" s="250"/>
      <c r="O53" s="250"/>
    </row>
    <row r="54" spans="2:15">
      <c r="B54" s="71" t="s">
        <v>108</v>
      </c>
      <c r="C54" s="105">
        <f t="shared" ref="C54:N54" si="18">C12/C$8</f>
        <v>0.33333333333333331</v>
      </c>
      <c r="D54" s="105">
        <f t="shared" si="18"/>
        <v>0.27272727272727271</v>
      </c>
      <c r="E54" s="105">
        <f t="shared" si="18"/>
        <v>0.25925925925925924</v>
      </c>
      <c r="F54" s="105">
        <f t="shared" si="18"/>
        <v>0.27777777777777779</v>
      </c>
      <c r="G54" s="141">
        <f t="shared" si="18"/>
        <v>0.27272727272727271</v>
      </c>
      <c r="H54" s="141">
        <f t="shared" si="18"/>
        <v>0.27536231884057971</v>
      </c>
      <c r="I54" s="141">
        <f t="shared" si="18"/>
        <v>0.27272727272727271</v>
      </c>
      <c r="J54" s="186">
        <f t="shared" si="18"/>
        <v>0.27619047619047621</v>
      </c>
      <c r="K54" s="186">
        <f t="shared" si="18"/>
        <v>0.23528138528138529</v>
      </c>
      <c r="L54" s="186">
        <f t="shared" si="18"/>
        <v>0.31129426129426124</v>
      </c>
      <c r="M54" s="255">
        <f t="shared" si="18"/>
        <v>0.33718112141789469</v>
      </c>
      <c r="N54" s="255">
        <f t="shared" si="18"/>
        <v>0.34295754175368276</v>
      </c>
      <c r="O54" s="255">
        <f t="shared" ref="O54" si="19">O12/O$8</f>
        <v>0.33849895599312807</v>
      </c>
    </row>
    <row r="55" spans="2:15">
      <c r="B55" s="71"/>
      <c r="C55" s="100"/>
      <c r="D55" s="100"/>
      <c r="E55" s="100"/>
      <c r="F55" s="100"/>
      <c r="G55" s="136"/>
      <c r="H55" s="136"/>
      <c r="I55" s="136"/>
      <c r="J55" s="181"/>
      <c r="K55" s="181"/>
      <c r="L55" s="181"/>
      <c r="M55" s="250"/>
      <c r="N55" s="250"/>
      <c r="O55" s="250"/>
    </row>
    <row r="56" spans="2:15">
      <c r="B56" s="71" t="s">
        <v>99</v>
      </c>
      <c r="C56" s="105">
        <f t="shared" ref="C56:N58" si="20">C14/C$8</f>
        <v>-0.16666666666666666</v>
      </c>
      <c r="D56" s="105">
        <f t="shared" si="20"/>
        <v>-9.0909090909090912E-2</v>
      </c>
      <c r="E56" s="105">
        <f t="shared" si="20"/>
        <v>-7.407407407407407E-2</v>
      </c>
      <c r="F56" s="105">
        <f t="shared" si="20"/>
        <v>-5.5555555555555552E-2</v>
      </c>
      <c r="G56" s="141">
        <f t="shared" si="20"/>
        <v>-7.2727272727272724E-2</v>
      </c>
      <c r="H56" s="141">
        <f t="shared" si="20"/>
        <v>-5.7971014492753624E-2</v>
      </c>
      <c r="I56" s="141">
        <f t="shared" si="20"/>
        <v>-7.792207792207792E-2</v>
      </c>
      <c r="J56" s="186">
        <f t="shared" si="20"/>
        <v>-5.7142857142857141E-2</v>
      </c>
      <c r="K56" s="186">
        <f t="shared" si="20"/>
        <v>-4.9586776859504134E-2</v>
      </c>
      <c r="L56" s="186">
        <f t="shared" si="20"/>
        <v>-3.7735849056603772E-2</v>
      </c>
      <c r="M56" s="255">
        <f t="shared" si="20"/>
        <v>-3.015075376884422E-2</v>
      </c>
      <c r="N56" s="255">
        <f t="shared" si="20"/>
        <v>-3.5714285714285712E-2</v>
      </c>
      <c r="O56" s="255">
        <f t="shared" ref="O56" si="21">O14/O$8</f>
        <v>-2.553191489361702E-2</v>
      </c>
    </row>
    <row r="57" spans="2:15">
      <c r="B57" s="71" t="s">
        <v>100</v>
      </c>
      <c r="C57" s="100"/>
      <c r="D57" s="100"/>
      <c r="E57" s="105">
        <f t="shared" si="20"/>
        <v>-4.8148148148148148E-2</v>
      </c>
      <c r="F57" s="105">
        <f t="shared" si="20"/>
        <v>-3.6111111111111108E-2</v>
      </c>
      <c r="G57" s="141">
        <f t="shared" si="20"/>
        <v>-4.7272727272727272E-2</v>
      </c>
      <c r="H57" s="141">
        <f t="shared" si="20"/>
        <v>-3.7681159420289857E-2</v>
      </c>
      <c r="I57" s="141">
        <f t="shared" si="20"/>
        <v>-6.7532467532467527E-2</v>
      </c>
      <c r="J57" s="186">
        <f t="shared" si="20"/>
        <v>-7.4285714285714288E-2</v>
      </c>
      <c r="K57" s="186">
        <f t="shared" si="20"/>
        <v>-6.4462809917355368E-2</v>
      </c>
      <c r="L57" s="186">
        <f t="shared" si="20"/>
        <v>-4.9056603773584909E-2</v>
      </c>
      <c r="M57" s="255">
        <f t="shared" si="20"/>
        <v>-3.9195979899497489E-2</v>
      </c>
      <c r="N57" s="255">
        <f t="shared" si="20"/>
        <v>-4.642857142857143E-2</v>
      </c>
      <c r="O57" s="255">
        <f t="shared" ref="O57" si="22">O15/O$8</f>
        <v>-5.5319148936170209E-2</v>
      </c>
    </row>
    <row r="58" spans="2:15">
      <c r="B58" s="71" t="s">
        <v>188</v>
      </c>
      <c r="C58" s="99"/>
      <c r="D58" s="99"/>
      <c r="E58" s="99"/>
      <c r="F58" s="99"/>
      <c r="G58" s="138"/>
      <c r="H58" s="142">
        <f t="shared" si="20"/>
        <v>-4.3478260869565216E-2</v>
      </c>
      <c r="I58" s="142">
        <f t="shared" si="20"/>
        <v>-7.792207792207792E-2</v>
      </c>
      <c r="J58" s="187">
        <f t="shared" si="20"/>
        <v>-2.8571428571428571E-2</v>
      </c>
      <c r="K58" s="187">
        <f t="shared" si="20"/>
        <v>-2.4793388429752067E-2</v>
      </c>
      <c r="L58" s="187">
        <f t="shared" si="20"/>
        <v>-1.8867924528301886E-2</v>
      </c>
      <c r="M58" s="256">
        <f t="shared" si="20"/>
        <v>-1.507537688442211E-2</v>
      </c>
      <c r="N58" s="256">
        <f t="shared" si="20"/>
        <v>-1.7857142857142856E-2</v>
      </c>
      <c r="O58" s="256">
        <f t="shared" ref="O58" si="23">O16/O$8</f>
        <v>-5.106382978723404E-2</v>
      </c>
    </row>
    <row r="59" spans="2:15">
      <c r="B59" s="71"/>
      <c r="C59" s="100"/>
      <c r="D59" s="100"/>
      <c r="E59" s="100"/>
      <c r="F59" s="100"/>
      <c r="G59" s="136"/>
      <c r="H59" s="136"/>
      <c r="I59" s="136"/>
      <c r="J59" s="181"/>
      <c r="K59" s="181"/>
      <c r="L59" s="181"/>
      <c r="M59" s="250"/>
      <c r="N59" s="250"/>
      <c r="O59" s="250"/>
    </row>
    <row r="60" spans="2:15">
      <c r="B60" s="71" t="s">
        <v>181</v>
      </c>
      <c r="C60" s="105">
        <f t="shared" ref="C60:N60" si="24">C18/C$8</f>
        <v>0.16666666666666666</v>
      </c>
      <c r="D60" s="105">
        <f t="shared" si="24"/>
        <v>0.18181818181818182</v>
      </c>
      <c r="E60" s="105">
        <f t="shared" si="24"/>
        <v>0.13703703703703704</v>
      </c>
      <c r="F60" s="105">
        <f t="shared" si="24"/>
        <v>0.18611111111111112</v>
      </c>
      <c r="G60" s="141">
        <f t="shared" si="24"/>
        <v>0.15272727272727274</v>
      </c>
      <c r="H60" s="141">
        <f t="shared" si="24"/>
        <v>0.13623188405797101</v>
      </c>
      <c r="I60" s="141">
        <f t="shared" si="24"/>
        <v>4.9350649350649353E-2</v>
      </c>
      <c r="J60" s="186">
        <f t="shared" si="24"/>
        <v>0.11619047619047619</v>
      </c>
      <c r="K60" s="186">
        <f t="shared" si="24"/>
        <v>9.6438410074773703E-2</v>
      </c>
      <c r="L60" s="186">
        <f t="shared" si="24"/>
        <v>0.20563388393577064</v>
      </c>
      <c r="M60" s="255">
        <f t="shared" si="24"/>
        <v>0.25275901086513092</v>
      </c>
      <c r="N60" s="255">
        <f t="shared" si="24"/>
        <v>0.24295754175368278</v>
      </c>
      <c r="O60" s="255">
        <f t="shared" ref="O60" si="25">O18/O$8</f>
        <v>0.20658406237610677</v>
      </c>
    </row>
    <row r="61" spans="2:15">
      <c r="B61" s="71" t="s">
        <v>161</v>
      </c>
      <c r="C61" s="106"/>
      <c r="D61" s="106"/>
      <c r="E61" s="106"/>
      <c r="F61" s="106"/>
      <c r="G61" s="142">
        <f>G19/G$8</f>
        <v>-0.14545454545454545</v>
      </c>
      <c r="H61" s="142"/>
      <c r="I61" s="142"/>
      <c r="J61" s="187"/>
      <c r="K61" s="187"/>
      <c r="L61" s="187"/>
      <c r="M61" s="256"/>
      <c r="N61" s="256"/>
      <c r="O61" s="256"/>
    </row>
    <row r="62" spans="2:15">
      <c r="B62" s="71"/>
      <c r="C62" s="105"/>
      <c r="D62" s="105"/>
      <c r="E62" s="105"/>
      <c r="F62" s="105"/>
      <c r="G62" s="141"/>
      <c r="H62" s="141"/>
      <c r="I62" s="141"/>
      <c r="J62" s="186"/>
      <c r="K62" s="186"/>
      <c r="L62" s="186"/>
      <c r="M62" s="255"/>
      <c r="N62" s="255"/>
      <c r="O62" s="255"/>
    </row>
    <row r="63" spans="2:15">
      <c r="B63" s="71" t="s">
        <v>144</v>
      </c>
      <c r="C63" s="105">
        <f>C60+C61</f>
        <v>0.16666666666666666</v>
      </c>
      <c r="D63" s="105">
        <f t="shared" ref="D63:N63" si="26">D60+D61</f>
        <v>0.18181818181818182</v>
      </c>
      <c r="E63" s="105">
        <f t="shared" si="26"/>
        <v>0.13703703703703704</v>
      </c>
      <c r="F63" s="105">
        <f t="shared" si="26"/>
        <v>0.18611111111111112</v>
      </c>
      <c r="G63" s="143">
        <f t="shared" si="26"/>
        <v>7.2727272727272918E-3</v>
      </c>
      <c r="H63" s="143">
        <f t="shared" si="26"/>
        <v>0.13623188405797101</v>
      </c>
      <c r="I63" s="143">
        <f t="shared" si="26"/>
        <v>4.9350649350649353E-2</v>
      </c>
      <c r="J63" s="188">
        <f t="shared" si="26"/>
        <v>0.11619047619047619</v>
      </c>
      <c r="K63" s="188">
        <f t="shared" si="26"/>
        <v>9.6438410074773703E-2</v>
      </c>
      <c r="L63" s="188">
        <f t="shared" si="26"/>
        <v>0.20563388393577064</v>
      </c>
      <c r="M63" s="257">
        <f t="shared" si="26"/>
        <v>0.25275901086513092</v>
      </c>
      <c r="N63" s="257">
        <f t="shared" si="26"/>
        <v>0.24295754175368278</v>
      </c>
      <c r="O63" s="257">
        <f t="shared" ref="O63" si="27">O60+O61</f>
        <v>0.20658406237610677</v>
      </c>
    </row>
    <row r="64" spans="2:15">
      <c r="B64" s="71"/>
      <c r="C64" s="105"/>
      <c r="D64" s="105"/>
      <c r="E64" s="105"/>
      <c r="F64" s="105"/>
      <c r="G64" s="143"/>
      <c r="H64" s="143"/>
      <c r="I64" s="143"/>
      <c r="J64" s="188"/>
      <c r="K64" s="188"/>
      <c r="L64" s="188"/>
      <c r="M64" s="257"/>
      <c r="N64" s="257"/>
      <c r="O64" s="257"/>
    </row>
    <row r="65" spans="2:15">
      <c r="B65" s="71" t="s">
        <v>263</v>
      </c>
      <c r="C65" s="106"/>
      <c r="D65" s="106"/>
      <c r="E65" s="106"/>
      <c r="F65" s="106"/>
      <c r="G65" s="144"/>
      <c r="H65" s="144"/>
      <c r="I65" s="144"/>
      <c r="J65" s="187">
        <f t="shared" ref="J65:O65" si="28">J23/J$8</f>
        <v>-4.5714285714285718E-3</v>
      </c>
      <c r="K65" s="187">
        <f t="shared" si="28"/>
        <v>-3.9669421487603307E-3</v>
      </c>
      <c r="L65" s="187">
        <f t="shared" si="28"/>
        <v>-3.0188679245283017E-3</v>
      </c>
      <c r="M65" s="256">
        <f t="shared" si="28"/>
        <v>-2.4120603015075378E-3</v>
      </c>
      <c r="N65" s="256">
        <f t="shared" si="28"/>
        <v>-2.8571428571428571E-3</v>
      </c>
      <c r="O65" s="256">
        <f t="shared" si="28"/>
        <v>-2.0425531914893616E-3</v>
      </c>
    </row>
    <row r="66" spans="2:15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257"/>
      <c r="N66" s="257"/>
      <c r="O66" s="257"/>
    </row>
    <row r="67" spans="2:15">
      <c r="B67" s="71" t="s">
        <v>264</v>
      </c>
      <c r="C67" s="105"/>
      <c r="D67" s="105"/>
      <c r="E67" s="105"/>
      <c r="F67" s="105"/>
      <c r="G67" s="143"/>
      <c r="H67" s="143"/>
      <c r="I67" s="143"/>
      <c r="J67" s="188">
        <f t="shared" ref="J67:O67" si="29">J63+J65</f>
        <v>0.11161904761904762</v>
      </c>
      <c r="K67" s="188">
        <f t="shared" si="29"/>
        <v>9.2471467926013379E-2</v>
      </c>
      <c r="L67" s="188">
        <f t="shared" si="29"/>
        <v>0.20261501601124235</v>
      </c>
      <c r="M67" s="257">
        <f t="shared" si="29"/>
        <v>0.25034695056362338</v>
      </c>
      <c r="N67" s="257">
        <f t="shared" si="29"/>
        <v>0.24010039889653992</v>
      </c>
      <c r="O67" s="257">
        <f t="shared" si="29"/>
        <v>0.20454150918461741</v>
      </c>
    </row>
    <row r="68" spans="2:15">
      <c r="B68" s="71"/>
      <c r="C68" s="100"/>
      <c r="D68" s="100"/>
      <c r="E68" s="100"/>
      <c r="F68" s="100"/>
      <c r="G68" s="136"/>
      <c r="H68" s="136"/>
      <c r="I68" s="136"/>
      <c r="J68" s="181"/>
      <c r="K68" s="181"/>
      <c r="L68" s="181"/>
      <c r="M68" s="250"/>
      <c r="N68" s="250"/>
      <c r="O68" s="250"/>
    </row>
    <row r="69" spans="2:15">
      <c r="B69" s="71" t="s">
        <v>265</v>
      </c>
      <c r="C69" s="106">
        <f t="shared" ref="C69:N69" si="30">C27/C$8</f>
        <v>-3.3333333333333333E-2</v>
      </c>
      <c r="D69" s="106">
        <f t="shared" si="30"/>
        <v>-3.6363636363636362E-2</v>
      </c>
      <c r="E69" s="106">
        <f t="shared" si="30"/>
        <v>-2.7407407407407408E-2</v>
      </c>
      <c r="F69" s="106">
        <f t="shared" si="30"/>
        <v>-3.7222222222222219E-2</v>
      </c>
      <c r="G69" s="142">
        <f t="shared" si="30"/>
        <v>-1.4545454545454545E-3</v>
      </c>
      <c r="H69" s="142">
        <f t="shared" si="30"/>
        <v>-2.7246376811594204E-2</v>
      </c>
      <c r="I69" s="142">
        <f t="shared" si="30"/>
        <v>-9.870129870129871E-3</v>
      </c>
      <c r="J69" s="187">
        <f t="shared" si="30"/>
        <v>-2.2323809523809524E-2</v>
      </c>
      <c r="K69" s="187">
        <f t="shared" si="30"/>
        <v>-1.8494293585202676E-2</v>
      </c>
      <c r="L69" s="187">
        <f t="shared" si="30"/>
        <v>-4.052300320224847E-2</v>
      </c>
      <c r="M69" s="256">
        <f t="shared" si="30"/>
        <v>-5.0069390112724675E-2</v>
      </c>
      <c r="N69" s="256">
        <f t="shared" si="30"/>
        <v>-4.8020079779307986E-2</v>
      </c>
      <c r="O69" s="256">
        <f t="shared" ref="O69" si="31">O27/O$8</f>
        <v>-4.0908301836923483E-2</v>
      </c>
    </row>
    <row r="70" spans="2:15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250"/>
      <c r="N70" s="250"/>
      <c r="O70" s="250"/>
    </row>
    <row r="71" spans="2:15">
      <c r="B71" s="71" t="s">
        <v>167</v>
      </c>
      <c r="C71" s="105">
        <f t="shared" ref="C71:I71" si="32">C29/C$8</f>
        <v>0.13333333333333333</v>
      </c>
      <c r="D71" s="105">
        <f t="shared" si="32"/>
        <v>0.14545454545454545</v>
      </c>
      <c r="E71" s="105">
        <f t="shared" si="32"/>
        <v>0.10962962962962963</v>
      </c>
      <c r="F71" s="105">
        <f t="shared" si="32"/>
        <v>0.14888888888888888</v>
      </c>
      <c r="G71" s="141">
        <f t="shared" si="32"/>
        <v>5.8181818181818178E-3</v>
      </c>
      <c r="H71" s="141">
        <f t="shared" si="32"/>
        <v>0.10898550724637682</v>
      </c>
      <c r="I71" s="141">
        <f t="shared" si="32"/>
        <v>3.9480519480519484E-2</v>
      </c>
      <c r="J71" s="186">
        <f t="shared" ref="J71:O71" si="33">J67+J69</f>
        <v>8.9295238095238094E-2</v>
      </c>
      <c r="K71" s="186">
        <f t="shared" si="33"/>
        <v>7.3977174340810706E-2</v>
      </c>
      <c r="L71" s="186">
        <f t="shared" si="33"/>
        <v>0.16209201280899388</v>
      </c>
      <c r="M71" s="255">
        <f t="shared" si="33"/>
        <v>0.2002775604508987</v>
      </c>
      <c r="N71" s="255">
        <f t="shared" si="33"/>
        <v>0.19208031911723195</v>
      </c>
      <c r="O71" s="255">
        <f t="shared" si="33"/>
        <v>0.16363320734769393</v>
      </c>
    </row>
    <row r="72" spans="2:15">
      <c r="B72" s="53"/>
      <c r="C72" s="104"/>
      <c r="D72" s="104"/>
      <c r="E72" s="104"/>
      <c r="F72" s="104"/>
      <c r="G72" s="135"/>
      <c r="H72" s="135"/>
      <c r="I72" s="135"/>
      <c r="J72" s="180"/>
      <c r="K72" s="180"/>
      <c r="L72" s="180"/>
      <c r="M72" s="249"/>
      <c r="N72" s="249"/>
      <c r="O72" s="249"/>
    </row>
    <row r="88" spans="2:15" s="75" customFormat="1">
      <c r="B88" s="86"/>
      <c r="C88" s="97"/>
      <c r="D88" s="97"/>
      <c r="E88" s="97"/>
      <c r="F88" s="97"/>
      <c r="G88" s="145"/>
      <c r="H88" s="145"/>
      <c r="I88" s="145"/>
      <c r="J88" s="189"/>
      <c r="K88" s="189"/>
      <c r="L88" s="189"/>
      <c r="M88" s="258"/>
      <c r="N88" s="258"/>
      <c r="O88" s="258"/>
    </row>
    <row r="89" spans="2:15" s="75" customFormat="1" ht="19">
      <c r="B89" s="353" t="s">
        <v>152</v>
      </c>
      <c r="C89" s="98" t="str">
        <f>C47</f>
        <v>September</v>
      </c>
      <c r="D89" s="98" t="str">
        <f t="shared" ref="D89:F89" si="34">D47</f>
        <v>October</v>
      </c>
      <c r="E89" s="98" t="str">
        <f t="shared" si="34"/>
        <v>November</v>
      </c>
      <c r="F89" s="98" t="str">
        <f t="shared" si="34"/>
        <v>December</v>
      </c>
      <c r="G89" s="146" t="str">
        <f>G47</f>
        <v>January</v>
      </c>
      <c r="H89" s="146" t="str">
        <f t="shared" ref="H89:N89" si="35">H5</f>
        <v>February</v>
      </c>
      <c r="I89" s="146" t="str">
        <f t="shared" si="35"/>
        <v>March</v>
      </c>
      <c r="J89" s="190" t="str">
        <f t="shared" si="35"/>
        <v>April</v>
      </c>
      <c r="K89" s="190" t="str">
        <f t="shared" si="35"/>
        <v>May</v>
      </c>
      <c r="L89" s="190" t="str">
        <f t="shared" si="35"/>
        <v>June</v>
      </c>
      <c r="M89" s="259" t="str">
        <f t="shared" si="35"/>
        <v>July</v>
      </c>
      <c r="N89" s="259" t="str">
        <f t="shared" si="35"/>
        <v>August</v>
      </c>
      <c r="O89" s="259" t="str">
        <f t="shared" ref="O89" si="36">O5</f>
        <v>September</v>
      </c>
    </row>
    <row r="90" spans="2:15" s="75" customFormat="1">
      <c r="B90" s="354"/>
      <c r="C90" s="99"/>
      <c r="D90" s="99"/>
      <c r="E90" s="99"/>
      <c r="F90" s="99"/>
      <c r="G90" s="140"/>
      <c r="H90" s="140"/>
      <c r="I90" s="140"/>
      <c r="J90" s="185"/>
      <c r="K90" s="185"/>
      <c r="L90" s="185"/>
      <c r="M90" s="254"/>
      <c r="N90" s="254"/>
      <c r="O90" s="254"/>
    </row>
    <row r="91" spans="2:15" s="75" customFormat="1">
      <c r="B91" s="355"/>
      <c r="C91" s="97"/>
      <c r="D91" s="97"/>
      <c r="E91" s="97"/>
      <c r="F91" s="97"/>
      <c r="G91" s="145"/>
      <c r="H91" s="145"/>
      <c r="I91" s="145"/>
      <c r="J91" s="189"/>
      <c r="K91" s="189"/>
      <c r="L91" s="189"/>
      <c r="M91" s="258"/>
      <c r="N91" s="258"/>
      <c r="O91" s="258"/>
    </row>
    <row r="92" spans="2:15" s="75" customFormat="1">
      <c r="B92" s="355" t="s">
        <v>127</v>
      </c>
      <c r="C92" s="100">
        <v>0</v>
      </c>
      <c r="D92" s="100">
        <v>0</v>
      </c>
      <c r="E92" s="100">
        <f>'November-1'!C52</f>
        <v>10000</v>
      </c>
      <c r="F92" s="100">
        <f>'December-1'!C65</f>
        <v>12000</v>
      </c>
      <c r="G92" s="139">
        <f>'January-2'!C73</f>
        <v>4000</v>
      </c>
      <c r="H92" s="139">
        <f>'February-2'!C65</f>
        <v>9000</v>
      </c>
      <c r="I92" s="139">
        <f>'March-2'!C65</f>
        <v>8000</v>
      </c>
      <c r="J92" s="184">
        <f>'April-2'!C100</f>
        <v>14300</v>
      </c>
      <c r="K92" s="184">
        <f>'May-2'!C96</f>
        <v>16854.523809523809</v>
      </c>
      <c r="L92" s="184">
        <f>'June-2'!L36</f>
        <v>21562.417582417584</v>
      </c>
      <c r="M92" s="253">
        <f>'July-2'!C106</f>
        <v>27231.9391634981</v>
      </c>
      <c r="N92" s="253">
        <f>'August-2'!C108</f>
        <v>32060.37267080745</v>
      </c>
      <c r="O92" s="253">
        <f>'September-2'!C109</f>
        <v>42834</v>
      </c>
    </row>
    <row r="93" spans="2:15" s="75" customFormat="1">
      <c r="B93" s="355"/>
      <c r="C93" s="100"/>
      <c r="D93" s="100"/>
      <c r="E93" s="100"/>
      <c r="F93" s="100"/>
      <c r="G93" s="139"/>
      <c r="H93" s="139"/>
      <c r="I93" s="139"/>
      <c r="J93" s="184"/>
      <c r="K93" s="184"/>
      <c r="L93" s="184"/>
      <c r="M93" s="253"/>
      <c r="N93" s="253"/>
      <c r="O93" s="253"/>
    </row>
    <row r="94" spans="2:15" s="75" customFormat="1">
      <c r="B94" s="355" t="s">
        <v>153</v>
      </c>
      <c r="C94" s="100">
        <v>0</v>
      </c>
      <c r="D94" s="100">
        <f>'October-1'!C43</f>
        <v>5000</v>
      </c>
      <c r="E94" s="100">
        <f>'November-1'!C54</f>
        <v>15000</v>
      </c>
      <c r="F94" s="100">
        <f>'December-1'!C67</f>
        <v>15000</v>
      </c>
      <c r="G94" s="139">
        <f>'January-2'!C75</f>
        <v>12500</v>
      </c>
      <c r="H94" s="139">
        <f>'February-2'!C67</f>
        <v>15000</v>
      </c>
      <c r="I94" s="139">
        <f>'March-2'!C67</f>
        <v>17500</v>
      </c>
      <c r="J94" s="184">
        <f>'April-2'!C101</f>
        <v>22500</v>
      </c>
      <c r="K94" s="184">
        <f>'May-2'!C97</f>
        <v>27500</v>
      </c>
      <c r="L94" s="184">
        <f>'June-2'!L48</f>
        <v>37500</v>
      </c>
      <c r="M94" s="253">
        <f>'July-2'!C107</f>
        <v>42500</v>
      </c>
      <c r="N94" s="253">
        <f>'August-2'!C109</f>
        <v>30000</v>
      </c>
      <c r="O94" s="253">
        <f>'September-2'!C110</f>
        <v>57500</v>
      </c>
    </row>
    <row r="95" spans="2:15" s="75" customFormat="1">
      <c r="B95" s="355"/>
      <c r="C95" s="100"/>
      <c r="D95" s="100"/>
      <c r="E95" s="100"/>
      <c r="F95" s="100"/>
      <c r="G95" s="139"/>
      <c r="H95" s="139"/>
      <c r="I95" s="139"/>
      <c r="J95" s="184"/>
      <c r="K95" s="184"/>
      <c r="L95" s="184"/>
      <c r="M95" s="253"/>
      <c r="N95" s="253"/>
      <c r="O95" s="253"/>
    </row>
    <row r="96" spans="2:15" s="75" customFormat="1">
      <c r="B96" s="355" t="s">
        <v>154</v>
      </c>
      <c r="C96" s="100">
        <v>0</v>
      </c>
      <c r="D96" s="100">
        <f>-'October-1'!E45</f>
        <v>-4000</v>
      </c>
      <c r="E96" s="100">
        <f>-'November-1'!E56</f>
        <v>-15000</v>
      </c>
      <c r="F96" s="100">
        <f>-'December-1'!E70</f>
        <v>-14000</v>
      </c>
      <c r="G96" s="139">
        <f>-'January-2'!E78</f>
        <v>-8000</v>
      </c>
      <c r="H96" s="139">
        <f>-'February-2'!E70</f>
        <v>-15000</v>
      </c>
      <c r="I96" s="139">
        <f>-'March-2'!E70</f>
        <v>-13500</v>
      </c>
      <c r="J96" s="184">
        <f>-'April-2'!E101</f>
        <v>-19400</v>
      </c>
      <c r="K96" s="184">
        <f>-'May-2'!E97</f>
        <v>-20160</v>
      </c>
      <c r="L96" s="184">
        <f>-'June-2'!L54</f>
        <v>-25480</v>
      </c>
      <c r="M96" s="253">
        <f>-'July-2'!E107</f>
        <v>-31560</v>
      </c>
      <c r="N96" s="253">
        <f>-'August-2'!F109</f>
        <v>-25760</v>
      </c>
      <c r="O96" s="253">
        <f>-'September-2'!E110</f>
        <v>-40000</v>
      </c>
    </row>
    <row r="97" spans="2:15" s="75" customFormat="1">
      <c r="B97" s="355"/>
      <c r="C97" s="99"/>
      <c r="D97" s="99"/>
      <c r="E97" s="99"/>
      <c r="F97" s="99"/>
      <c r="G97" s="140"/>
      <c r="H97" s="140"/>
      <c r="I97" s="140"/>
      <c r="J97" s="185"/>
      <c r="K97" s="185"/>
      <c r="L97" s="185"/>
      <c r="M97" s="254"/>
      <c r="N97" s="254"/>
      <c r="O97" s="254"/>
    </row>
    <row r="98" spans="2:15" s="75" customFormat="1">
      <c r="B98" s="355"/>
      <c r="C98" s="100"/>
      <c r="D98" s="100"/>
      <c r="E98" s="100"/>
      <c r="F98" s="100"/>
      <c r="G98" s="139"/>
      <c r="H98" s="139"/>
      <c r="I98" s="139"/>
      <c r="J98" s="184"/>
      <c r="K98" s="184"/>
      <c r="L98" s="184"/>
      <c r="M98" s="253"/>
      <c r="N98" s="253"/>
      <c r="O98" s="253"/>
    </row>
    <row r="99" spans="2:15" s="75" customFormat="1">
      <c r="B99" s="356" t="s">
        <v>155</v>
      </c>
      <c r="C99" s="101">
        <f>C92+C94+C96</f>
        <v>0</v>
      </c>
      <c r="D99" s="101">
        <f t="shared" ref="D99:N99" si="37">D92+D94+D96</f>
        <v>1000</v>
      </c>
      <c r="E99" s="101">
        <f t="shared" si="37"/>
        <v>10000</v>
      </c>
      <c r="F99" s="101">
        <f t="shared" si="37"/>
        <v>13000</v>
      </c>
      <c r="G99" s="147">
        <f t="shared" si="37"/>
        <v>8500</v>
      </c>
      <c r="H99" s="147">
        <f t="shared" si="37"/>
        <v>9000</v>
      </c>
      <c r="I99" s="147">
        <f t="shared" si="37"/>
        <v>12000</v>
      </c>
      <c r="J99" s="191">
        <f t="shared" si="37"/>
        <v>17400</v>
      </c>
      <c r="K99" s="191">
        <f t="shared" si="37"/>
        <v>24194.523809523809</v>
      </c>
      <c r="L99" s="191">
        <f t="shared" si="37"/>
        <v>33582.417582417584</v>
      </c>
      <c r="M99" s="260">
        <f t="shared" si="37"/>
        <v>38171.9391634981</v>
      </c>
      <c r="N99" s="260">
        <f t="shared" si="37"/>
        <v>36300.372670807454</v>
      </c>
      <c r="O99" s="260">
        <f t="shared" ref="O99" si="38">O92+O94+O96</f>
        <v>60334</v>
      </c>
    </row>
    <row r="100" spans="2:15" s="75" customFormat="1">
      <c r="B100" s="72"/>
      <c r="C100" s="99"/>
      <c r="D100" s="99"/>
      <c r="E100" s="99"/>
      <c r="F100" s="99"/>
      <c r="G100" s="140"/>
      <c r="H100" s="140"/>
      <c r="I100" s="140"/>
      <c r="J100" s="185"/>
      <c r="K100" s="185"/>
      <c r="L100" s="185"/>
      <c r="M100" s="254"/>
      <c r="N100" s="254"/>
      <c r="O100" s="254"/>
    </row>
    <row r="101" spans="2:15">
      <c r="B101" s="50"/>
      <c r="C101" s="102"/>
      <c r="D101" s="102"/>
      <c r="E101" s="102"/>
      <c r="F101" s="102"/>
      <c r="G101" s="133"/>
      <c r="H101" s="133"/>
      <c r="I101" s="133"/>
      <c r="J101" s="178"/>
      <c r="K101" s="178"/>
      <c r="L101" s="178"/>
      <c r="M101" s="247"/>
      <c r="N101" s="247"/>
      <c r="O101" s="247"/>
    </row>
    <row r="102" spans="2:15">
      <c r="B102" s="71" t="s">
        <v>144</v>
      </c>
      <c r="C102" s="100">
        <f>C21</f>
        <v>1000</v>
      </c>
      <c r="D102" s="100">
        <f t="shared" ref="D102:L102" si="39">D21</f>
        <v>2000</v>
      </c>
      <c r="E102" s="100">
        <f t="shared" si="39"/>
        <v>3700</v>
      </c>
      <c r="F102" s="100">
        <f t="shared" si="39"/>
        <v>6700</v>
      </c>
      <c r="G102" s="139">
        <f t="shared" si="39"/>
        <v>200</v>
      </c>
      <c r="H102" s="139">
        <f t="shared" si="39"/>
        <v>4700</v>
      </c>
      <c r="I102" s="139">
        <f t="shared" si="39"/>
        <v>1900</v>
      </c>
      <c r="J102" s="184">
        <f t="shared" si="39"/>
        <v>6100</v>
      </c>
      <c r="K102" s="184">
        <f t="shared" si="39"/>
        <v>5834.5238095238092</v>
      </c>
      <c r="L102" s="184">
        <f t="shared" si="39"/>
        <v>16347.893772893767</v>
      </c>
      <c r="M102" s="253">
        <f>'July-2'!C34</f>
        <v>25149.521581080524</v>
      </c>
      <c r="N102" s="253">
        <f>'August-2'!C34</f>
        <v>20408.433507309353</v>
      </c>
      <c r="O102" s="253">
        <f>'September-2'!C35</f>
        <v>24273.627329192546</v>
      </c>
    </row>
    <row r="103" spans="2:15">
      <c r="B103" s="130"/>
      <c r="C103" s="132"/>
      <c r="D103" s="132"/>
      <c r="E103" s="132"/>
      <c r="F103" s="132"/>
      <c r="G103" s="137"/>
      <c r="H103" s="137"/>
      <c r="I103" s="137"/>
      <c r="J103" s="182"/>
      <c r="K103" s="182"/>
      <c r="L103" s="182"/>
      <c r="M103" s="251"/>
      <c r="N103" s="251"/>
      <c r="O103" s="251"/>
    </row>
    <row r="104" spans="2:15" s="1" customFormat="1">
      <c r="B104" s="71" t="s">
        <v>303</v>
      </c>
      <c r="C104" s="100">
        <v>0</v>
      </c>
      <c r="D104" s="100">
        <v>0</v>
      </c>
      <c r="E104" s="100">
        <v>0</v>
      </c>
      <c r="F104" s="100">
        <v>0</v>
      </c>
      <c r="G104" s="139">
        <v>0</v>
      </c>
      <c r="H104" s="139">
        <v>0</v>
      </c>
      <c r="I104" s="139">
        <v>0</v>
      </c>
      <c r="J104" s="181">
        <f>'April-2'!D116</f>
        <v>1000</v>
      </c>
      <c r="K104" s="181">
        <f>'May-2'!D112</f>
        <v>1000</v>
      </c>
      <c r="L104" s="181">
        <f>'June-2'!D112</f>
        <v>1000</v>
      </c>
      <c r="M104" s="250">
        <f>'July-2'!K14</f>
        <v>1000</v>
      </c>
      <c r="N104" s="250">
        <f>'August-2'!K14</f>
        <v>1000</v>
      </c>
      <c r="O104" s="250">
        <f>'September-2'!L14</f>
        <v>1000</v>
      </c>
    </row>
    <row r="105" spans="2:15" s="1" customFormat="1">
      <c r="B105" s="71"/>
      <c r="C105" s="100"/>
      <c r="D105" s="100"/>
      <c r="E105" s="100"/>
      <c r="F105" s="100"/>
      <c r="G105" s="136"/>
      <c r="H105" s="136"/>
      <c r="I105" s="136"/>
      <c r="J105" s="181"/>
      <c r="K105" s="181"/>
      <c r="L105" s="181"/>
      <c r="M105" s="250"/>
      <c r="N105" s="250"/>
      <c r="O105" s="250"/>
    </row>
    <row r="106" spans="2:15" s="1" customFormat="1" ht="19">
      <c r="B106" s="131" t="s">
        <v>29</v>
      </c>
      <c r="C106" s="100">
        <f>C102+C104</f>
        <v>1000</v>
      </c>
      <c r="D106" s="100">
        <f t="shared" ref="D106:N106" si="40">D102+D104</f>
        <v>2000</v>
      </c>
      <c r="E106" s="100">
        <f t="shared" si="40"/>
        <v>3700</v>
      </c>
      <c r="F106" s="100">
        <f t="shared" si="40"/>
        <v>6700</v>
      </c>
      <c r="G106" s="139">
        <f t="shared" si="40"/>
        <v>200</v>
      </c>
      <c r="H106" s="139">
        <f t="shared" si="40"/>
        <v>4700</v>
      </c>
      <c r="I106" s="139">
        <f t="shared" si="40"/>
        <v>1900</v>
      </c>
      <c r="J106" s="184">
        <f t="shared" si="40"/>
        <v>7100</v>
      </c>
      <c r="K106" s="184">
        <f t="shared" si="40"/>
        <v>6834.5238095238092</v>
      </c>
      <c r="L106" s="184">
        <f t="shared" si="40"/>
        <v>17347.893772893767</v>
      </c>
      <c r="M106" s="253">
        <f t="shared" si="40"/>
        <v>26149.521581080524</v>
      </c>
      <c r="N106" s="253">
        <f t="shared" si="40"/>
        <v>21408.433507309353</v>
      </c>
      <c r="O106" s="253">
        <f t="shared" ref="O106" si="41">O102+O104</f>
        <v>25273.627329192546</v>
      </c>
    </row>
    <row r="107" spans="2:15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  <c r="M107" s="250"/>
      <c r="N107" s="250"/>
      <c r="O107" s="250"/>
    </row>
    <row r="108" spans="2:15" s="1" customFormat="1">
      <c r="B108" s="71" t="s">
        <v>274</v>
      </c>
      <c r="C108" s="100">
        <v>0</v>
      </c>
      <c r="D108" s="100">
        <f>-(D99-C99)</f>
        <v>-1000</v>
      </c>
      <c r="E108" s="100">
        <f t="shared" ref="E108:O108" si="42">-(E99-D99)</f>
        <v>-9000</v>
      </c>
      <c r="F108" s="100">
        <f t="shared" si="42"/>
        <v>-3000</v>
      </c>
      <c r="G108" s="139">
        <f t="shared" si="42"/>
        <v>4500</v>
      </c>
      <c r="H108" s="139">
        <f t="shared" si="42"/>
        <v>-500</v>
      </c>
      <c r="I108" s="139">
        <f t="shared" si="42"/>
        <v>-3000</v>
      </c>
      <c r="J108" s="184">
        <f t="shared" si="42"/>
        <v>-5400</v>
      </c>
      <c r="K108" s="184">
        <f t="shared" si="42"/>
        <v>-6794.5238095238092</v>
      </c>
      <c r="L108" s="184">
        <f t="shared" si="42"/>
        <v>-9387.8937728937744</v>
      </c>
      <c r="M108" s="253">
        <f t="shared" si="42"/>
        <v>-4589.5215810805166</v>
      </c>
      <c r="N108" s="253">
        <f t="shared" si="42"/>
        <v>1871.5664926906466</v>
      </c>
      <c r="O108" s="253">
        <f t="shared" si="42"/>
        <v>-24033.627329192546</v>
      </c>
    </row>
    <row r="109" spans="2:15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  <c r="M109" s="250"/>
      <c r="N109" s="250"/>
      <c r="O109" s="250"/>
    </row>
    <row r="110" spans="2:15" s="1" customFormat="1" ht="19">
      <c r="B110" s="131" t="s">
        <v>304</v>
      </c>
      <c r="C110" s="100">
        <f>C106+C108</f>
        <v>1000</v>
      </c>
      <c r="D110" s="100">
        <f t="shared" ref="D110:N110" si="43">D106+D108</f>
        <v>1000</v>
      </c>
      <c r="E110" s="100">
        <f t="shared" si="43"/>
        <v>-5300</v>
      </c>
      <c r="F110" s="100">
        <f t="shared" si="43"/>
        <v>3700</v>
      </c>
      <c r="G110" s="139">
        <f t="shared" si="43"/>
        <v>4700</v>
      </c>
      <c r="H110" s="139">
        <f t="shared" si="43"/>
        <v>4200</v>
      </c>
      <c r="I110" s="139">
        <f t="shared" si="43"/>
        <v>-1100</v>
      </c>
      <c r="J110" s="184">
        <f t="shared" si="43"/>
        <v>1700</v>
      </c>
      <c r="K110" s="184">
        <f t="shared" si="43"/>
        <v>40</v>
      </c>
      <c r="L110" s="184">
        <f t="shared" si="43"/>
        <v>7959.9999999999927</v>
      </c>
      <c r="M110" s="253">
        <f t="shared" si="43"/>
        <v>21560.000000000007</v>
      </c>
      <c r="N110" s="253">
        <f t="shared" si="43"/>
        <v>23280</v>
      </c>
      <c r="O110" s="253">
        <f t="shared" ref="O110" si="44">O106+O108</f>
        <v>1240</v>
      </c>
    </row>
    <row r="111" spans="2:15" s="1" customFormat="1">
      <c r="B111" s="72"/>
      <c r="C111" s="99"/>
      <c r="D111" s="99"/>
      <c r="E111" s="99"/>
      <c r="F111" s="99"/>
      <c r="G111" s="138"/>
      <c r="H111" s="138"/>
      <c r="I111" s="138"/>
      <c r="J111" s="183"/>
      <c r="K111" s="183"/>
      <c r="L111" s="183"/>
      <c r="M111" s="252"/>
      <c r="N111" s="252"/>
      <c r="O111" s="252"/>
    </row>
    <row r="112" spans="2:15">
      <c r="B112" s="86"/>
      <c r="C112" s="97"/>
      <c r="D112" s="97"/>
      <c r="E112" s="97"/>
      <c r="F112" s="97"/>
      <c r="G112" s="241"/>
      <c r="H112" s="241"/>
      <c r="I112" s="241"/>
      <c r="J112" s="243"/>
      <c r="K112" s="243"/>
      <c r="L112" s="243"/>
      <c r="M112" s="261"/>
      <c r="N112" s="261"/>
      <c r="O112" s="261"/>
    </row>
    <row r="113" spans="2:15">
      <c r="B113" s="83" t="s">
        <v>305</v>
      </c>
      <c r="C113" s="100"/>
      <c r="D113" s="100"/>
      <c r="E113" s="100"/>
      <c r="F113" s="100"/>
      <c r="G113" s="136"/>
      <c r="H113" s="136"/>
      <c r="I113" s="136"/>
      <c r="J113" s="181"/>
      <c r="K113" s="181"/>
      <c r="L113" s="181"/>
      <c r="M113" s="250"/>
      <c r="N113" s="250"/>
      <c r="O113" s="250"/>
    </row>
    <row r="114" spans="2:15">
      <c r="B114" s="71"/>
      <c r="C114" s="100"/>
      <c r="D114" s="100"/>
      <c r="E114" s="100"/>
      <c r="F114" s="100"/>
      <c r="G114" s="136"/>
      <c r="H114" s="136"/>
      <c r="I114" s="136"/>
      <c r="J114" s="181"/>
      <c r="K114" s="181"/>
      <c r="L114" s="181"/>
      <c r="M114" s="250"/>
      <c r="N114" s="250"/>
      <c r="O114" s="250"/>
    </row>
    <row r="115" spans="2:15">
      <c r="B115" s="71" t="s">
        <v>306</v>
      </c>
      <c r="C115" s="238">
        <v>0</v>
      </c>
      <c r="D115" s="238">
        <v>0</v>
      </c>
      <c r="E115" s="238">
        <v>0</v>
      </c>
      <c r="F115" s="238">
        <v>0</v>
      </c>
      <c r="G115" s="136">
        <v>0</v>
      </c>
      <c r="H115" s="136">
        <v>0</v>
      </c>
      <c r="I115" s="136">
        <v>0</v>
      </c>
      <c r="J115" s="181">
        <v>0</v>
      </c>
      <c r="K115" s="181">
        <v>0</v>
      </c>
      <c r="L115" s="181">
        <v>0</v>
      </c>
      <c r="M115" s="250">
        <v>0</v>
      </c>
      <c r="N115" s="250">
        <f>'August-2'!C110</f>
        <v>18000</v>
      </c>
      <c r="O115" s="250">
        <f>'September-2'!C111</f>
        <v>15000</v>
      </c>
    </row>
    <row r="116" spans="2:15">
      <c r="B116" s="71"/>
      <c r="C116" s="100"/>
      <c r="D116" s="100"/>
      <c r="E116" s="100"/>
      <c r="F116" s="100"/>
      <c r="G116" s="136"/>
      <c r="H116" s="136"/>
      <c r="I116" s="136"/>
      <c r="J116" s="181"/>
      <c r="K116" s="181"/>
      <c r="L116" s="181"/>
      <c r="M116" s="250"/>
      <c r="N116" s="250"/>
      <c r="O116" s="250"/>
    </row>
    <row r="117" spans="2:15">
      <c r="B117" s="83" t="s">
        <v>309</v>
      </c>
      <c r="C117" s="100"/>
      <c r="D117" s="100"/>
      <c r="E117" s="100"/>
      <c r="F117" s="100"/>
      <c r="G117" s="136"/>
      <c r="H117" s="136"/>
      <c r="I117" s="136"/>
      <c r="J117" s="181"/>
      <c r="K117" s="181"/>
      <c r="L117" s="181"/>
      <c r="M117" s="250"/>
      <c r="N117" s="250"/>
      <c r="O117" s="250"/>
    </row>
    <row r="118" spans="2:15">
      <c r="B118" s="71"/>
      <c r="C118" s="100"/>
      <c r="D118" s="100"/>
      <c r="E118" s="100"/>
      <c r="F118" s="100"/>
      <c r="G118" s="136"/>
      <c r="H118" s="136"/>
      <c r="I118" s="136"/>
      <c r="J118" s="181"/>
      <c r="K118" s="181"/>
      <c r="L118" s="181"/>
      <c r="M118" s="250"/>
      <c r="N118" s="250"/>
      <c r="O118" s="250"/>
    </row>
    <row r="119" spans="2:15">
      <c r="B119" s="71" t="s">
        <v>135</v>
      </c>
      <c r="C119" s="238">
        <v>0</v>
      </c>
      <c r="D119" s="238">
        <v>0</v>
      </c>
      <c r="E119" s="100">
        <v>0</v>
      </c>
      <c r="F119" s="100">
        <f>-'December-1'!E69</f>
        <v>-2000</v>
      </c>
      <c r="G119" s="136">
        <f>-'January-2'!E77</f>
        <v>0</v>
      </c>
      <c r="H119" s="136">
        <f>-'February-2'!E69</f>
        <v>0</v>
      </c>
      <c r="I119" s="136">
        <f>-'March-2'!E69</f>
        <v>0</v>
      </c>
      <c r="J119" s="181">
        <f>-'April-2'!E100</f>
        <v>0</v>
      </c>
      <c r="K119" s="181">
        <f>-'May-2'!E96</f>
        <v>0</v>
      </c>
      <c r="L119" s="181">
        <f>-'June-2'!E96</f>
        <v>0</v>
      </c>
      <c r="M119" s="250">
        <f>-'July-2'!E106</f>
        <v>0</v>
      </c>
      <c r="N119" s="250">
        <f>-'August-2'!F108</f>
        <v>0</v>
      </c>
      <c r="O119" s="250">
        <f>-'September-2'!E109</f>
        <v>0</v>
      </c>
    </row>
    <row r="120" spans="2:15">
      <c r="B120" s="71" t="s">
        <v>145</v>
      </c>
      <c r="C120" s="100">
        <f>-'September-1'!E39*TIS</f>
        <v>-200</v>
      </c>
      <c r="D120" s="100">
        <f>-'October-1'!E41*TIS</f>
        <v>-600</v>
      </c>
      <c r="E120" s="100">
        <f>-'November-1'!E52*TIS</f>
        <v>-1340</v>
      </c>
      <c r="F120" s="100">
        <f>-'December-1'!E71</f>
        <v>-2680</v>
      </c>
      <c r="G120" s="136">
        <f>-'January-2'!E79</f>
        <v>-40</v>
      </c>
      <c r="H120" s="136">
        <f>-'February-2'!E71</f>
        <v>-980</v>
      </c>
      <c r="I120" s="136">
        <f>-'March-2'!E71</f>
        <v>-1360</v>
      </c>
      <c r="J120" s="181">
        <f>-'April-2'!E102</f>
        <v>-2532</v>
      </c>
      <c r="K120" s="181">
        <f>-'May-2'!E98</f>
        <v>-3650.9047619047619</v>
      </c>
      <c r="L120" s="181">
        <f>-'June-2'!E98</f>
        <v>-6872.4835164835149</v>
      </c>
      <c r="M120" s="250">
        <f>-'July-2'!E108</f>
        <v>-11854.38783269962</v>
      </c>
      <c r="N120" s="250">
        <f>-'August-2'!F110</f>
        <v>-15888.074534161491</v>
      </c>
      <c r="O120" s="250">
        <f>-'September-2'!E111</f>
        <v>-20694.8</v>
      </c>
    </row>
    <row r="121" spans="2:15">
      <c r="B121" s="71"/>
      <c r="C121" s="99"/>
      <c r="D121" s="99"/>
      <c r="E121" s="99"/>
      <c r="F121" s="99"/>
      <c r="G121" s="138"/>
      <c r="H121" s="138"/>
      <c r="I121" s="138"/>
      <c r="J121" s="183"/>
      <c r="K121" s="183"/>
      <c r="L121" s="183"/>
      <c r="M121" s="252"/>
      <c r="N121" s="252"/>
      <c r="O121" s="252"/>
    </row>
    <row r="122" spans="2:15">
      <c r="B122" s="71"/>
      <c r="C122" s="100"/>
      <c r="D122" s="100"/>
      <c r="E122" s="100"/>
      <c r="F122" s="100"/>
      <c r="G122" s="136"/>
      <c r="H122" s="136"/>
      <c r="I122" s="136"/>
      <c r="J122" s="181"/>
      <c r="K122" s="181"/>
      <c r="L122" s="181"/>
      <c r="M122" s="250"/>
      <c r="N122" s="250"/>
      <c r="O122" s="250"/>
    </row>
    <row r="123" spans="2:15" s="234" customFormat="1">
      <c r="B123" s="74" t="s">
        <v>307</v>
      </c>
      <c r="C123" s="239">
        <f t="shared" ref="C123:M123" si="45">C115+C119+C120</f>
        <v>-200</v>
      </c>
      <c r="D123" s="239">
        <f t="shared" si="45"/>
        <v>-600</v>
      </c>
      <c r="E123" s="239">
        <f t="shared" si="45"/>
        <v>-1340</v>
      </c>
      <c r="F123" s="239">
        <f t="shared" si="45"/>
        <v>-4680</v>
      </c>
      <c r="G123" s="242">
        <f t="shared" si="45"/>
        <v>-40</v>
      </c>
      <c r="H123" s="242">
        <f t="shared" si="45"/>
        <v>-980</v>
      </c>
      <c r="I123" s="242">
        <f t="shared" si="45"/>
        <v>-1360</v>
      </c>
      <c r="J123" s="244">
        <f t="shared" si="45"/>
        <v>-2532</v>
      </c>
      <c r="K123" s="244">
        <f t="shared" si="45"/>
        <v>-3650.9047619047619</v>
      </c>
      <c r="L123" s="244">
        <f t="shared" si="45"/>
        <v>-6872.4835164835149</v>
      </c>
      <c r="M123" s="262">
        <f t="shared" si="45"/>
        <v>-11854.38783269962</v>
      </c>
      <c r="N123" s="262">
        <f>N115+N119+N120</f>
        <v>2111.9254658385089</v>
      </c>
      <c r="O123" s="262">
        <f>O115+O119+O120</f>
        <v>-5694.7999999999993</v>
      </c>
    </row>
    <row r="124" spans="2:15">
      <c r="B124" s="72"/>
      <c r="C124" s="240"/>
      <c r="D124" s="240"/>
      <c r="E124" s="240"/>
      <c r="F124" s="240"/>
      <c r="G124" s="138"/>
      <c r="H124" s="138"/>
      <c r="I124" s="138"/>
      <c r="J124" s="183"/>
      <c r="K124" s="183"/>
      <c r="L124" s="183"/>
      <c r="M124" s="252"/>
      <c r="N124" s="252"/>
      <c r="O124" s="252"/>
    </row>
    <row r="125" spans="2:15">
      <c r="B125" s="71"/>
      <c r="C125" s="238"/>
      <c r="D125" s="238"/>
      <c r="E125" s="238"/>
      <c r="F125" s="238"/>
      <c r="G125" s="136"/>
      <c r="H125" s="136"/>
      <c r="I125" s="136"/>
      <c r="J125" s="181"/>
      <c r="K125" s="181"/>
      <c r="L125" s="181"/>
      <c r="M125" s="250"/>
      <c r="N125" s="250"/>
      <c r="O125" s="250"/>
    </row>
    <row r="126" spans="2:15" ht="19">
      <c r="B126" s="80" t="s">
        <v>152</v>
      </c>
      <c r="C126" s="239">
        <f t="shared" ref="C126:M126" si="46">C99+C123</f>
        <v>-200</v>
      </c>
      <c r="D126" s="239">
        <f t="shared" si="46"/>
        <v>400</v>
      </c>
      <c r="E126" s="239">
        <f t="shared" si="46"/>
        <v>8660</v>
      </c>
      <c r="F126" s="239">
        <f t="shared" si="46"/>
        <v>8320</v>
      </c>
      <c r="G126" s="242">
        <f t="shared" si="46"/>
        <v>8460</v>
      </c>
      <c r="H126" s="242">
        <f t="shared" si="46"/>
        <v>8020</v>
      </c>
      <c r="I126" s="242">
        <f t="shared" si="46"/>
        <v>10640</v>
      </c>
      <c r="J126" s="244">
        <f t="shared" si="46"/>
        <v>14868</v>
      </c>
      <c r="K126" s="244">
        <f t="shared" si="46"/>
        <v>20543.619047619046</v>
      </c>
      <c r="L126" s="244">
        <f t="shared" si="46"/>
        <v>26709.934065934067</v>
      </c>
      <c r="M126" s="262">
        <f t="shared" si="46"/>
        <v>26317.55133079848</v>
      </c>
      <c r="N126" s="262">
        <f>N99+N123</f>
        <v>38412.298136645964</v>
      </c>
      <c r="O126" s="262">
        <f>O99+O123</f>
        <v>54639.199999999997</v>
      </c>
    </row>
    <row r="127" spans="2:15">
      <c r="B127" s="72"/>
      <c r="C127" s="99"/>
      <c r="D127" s="99"/>
      <c r="E127" s="99"/>
      <c r="F127" s="99"/>
      <c r="G127" s="138"/>
      <c r="H127" s="138"/>
      <c r="I127" s="138"/>
      <c r="J127" s="183"/>
      <c r="K127" s="183"/>
      <c r="L127" s="183"/>
      <c r="M127" s="252"/>
      <c r="N127" s="252"/>
      <c r="O127" s="252"/>
    </row>
    <row r="128" spans="2:15">
      <c r="B128" s="50"/>
      <c r="C128" s="102"/>
      <c r="D128" s="102"/>
      <c r="E128" s="102"/>
      <c r="F128" s="102"/>
      <c r="G128" s="133"/>
      <c r="H128" s="133"/>
      <c r="I128" s="133"/>
      <c r="J128" s="178"/>
      <c r="K128" s="178"/>
      <c r="L128" s="178"/>
      <c r="M128" s="247"/>
      <c r="N128" s="247"/>
      <c r="O128" s="247"/>
    </row>
    <row r="129" spans="2:15">
      <c r="B129" s="130" t="s">
        <v>308</v>
      </c>
      <c r="C129" s="238">
        <f>C126</f>
        <v>-200</v>
      </c>
      <c r="D129" s="238">
        <f t="shared" ref="D129:M129" si="47">D126-C126</f>
        <v>600</v>
      </c>
      <c r="E129" s="238">
        <f t="shared" si="47"/>
        <v>8260</v>
      </c>
      <c r="F129" s="238">
        <f t="shared" si="47"/>
        <v>-340</v>
      </c>
      <c r="G129" s="136">
        <f t="shared" si="47"/>
        <v>140</v>
      </c>
      <c r="H129" s="136">
        <f t="shared" si="47"/>
        <v>-440</v>
      </c>
      <c r="I129" s="136">
        <f t="shared" si="47"/>
        <v>2620</v>
      </c>
      <c r="J129" s="181">
        <f t="shared" si="47"/>
        <v>4228</v>
      </c>
      <c r="K129" s="181">
        <f t="shared" si="47"/>
        <v>5675.6190476190459</v>
      </c>
      <c r="L129" s="181">
        <f t="shared" si="47"/>
        <v>6166.315018315021</v>
      </c>
      <c r="M129" s="250">
        <f t="shared" si="47"/>
        <v>-392.3827351355867</v>
      </c>
      <c r="N129" s="250">
        <f>N126-M126</f>
        <v>12094.746805847484</v>
      </c>
      <c r="O129" s="250">
        <f>O126-N126</f>
        <v>16226.901863354033</v>
      </c>
    </row>
    <row r="130" spans="2:15">
      <c r="B130" s="53"/>
      <c r="C130" s="104"/>
      <c r="D130" s="104"/>
      <c r="E130" s="104"/>
      <c r="F130" s="104"/>
      <c r="G130" s="135"/>
      <c r="H130" s="135"/>
      <c r="I130" s="135"/>
      <c r="J130" s="180"/>
      <c r="K130" s="180"/>
      <c r="L130" s="180"/>
      <c r="M130" s="249"/>
      <c r="N130" s="249"/>
      <c r="O130" s="249"/>
    </row>
    <row r="137" spans="2:15" ht="11" customHeight="1">
      <c r="B137" s="86"/>
      <c r="C137" s="86"/>
      <c r="D137" s="86"/>
      <c r="E137" s="86"/>
    </row>
    <row r="138" spans="2:15" ht="19">
      <c r="B138" s="80" t="s">
        <v>323</v>
      </c>
      <c r="C138" s="83" t="str">
        <f>M89</f>
        <v>July</v>
      </c>
      <c r="D138" s="83" t="str">
        <f>N89</f>
        <v>August</v>
      </c>
      <c r="E138" s="83" t="str">
        <f>O89</f>
        <v>September</v>
      </c>
    </row>
    <row r="139" spans="2:15" ht="11" customHeight="1">
      <c r="B139" s="72"/>
      <c r="C139" s="72"/>
      <c r="D139" s="72"/>
      <c r="E139" s="72"/>
    </row>
    <row r="140" spans="2:15" ht="11" customHeight="1">
      <c r="B140" s="86"/>
      <c r="C140" s="86"/>
      <c r="D140" s="86"/>
      <c r="E140" s="86"/>
    </row>
    <row r="141" spans="2:15">
      <c r="B141" s="355" t="s">
        <v>127</v>
      </c>
      <c r="C141" s="71">
        <f>M92</f>
        <v>27231.9391634981</v>
      </c>
      <c r="D141" s="71">
        <f>N92</f>
        <v>32060.37267080745</v>
      </c>
      <c r="E141" s="71">
        <f>O92</f>
        <v>42834</v>
      </c>
    </row>
    <row r="142" spans="2:15" ht="11" customHeight="1">
      <c r="B142" s="355"/>
      <c r="C142" s="71"/>
      <c r="D142" s="71"/>
      <c r="E142" s="71"/>
    </row>
    <row r="143" spans="2:15">
      <c r="B143" s="355" t="s">
        <v>153</v>
      </c>
      <c r="C143" s="71">
        <f>M94</f>
        <v>42500</v>
      </c>
      <c r="D143" s="71">
        <f>N94</f>
        <v>30000</v>
      </c>
      <c r="E143" s="71">
        <f>O94</f>
        <v>57500</v>
      </c>
    </row>
    <row r="144" spans="2:15" ht="11" customHeight="1">
      <c r="B144" s="355"/>
      <c r="C144" s="71"/>
      <c r="D144" s="71"/>
      <c r="E144" s="71"/>
    </row>
    <row r="145" spans="2:5">
      <c r="B145" s="355" t="s">
        <v>154</v>
      </c>
      <c r="C145" s="71">
        <f>M96</f>
        <v>-31560</v>
      </c>
      <c r="D145" s="71">
        <f>N96</f>
        <v>-25760</v>
      </c>
      <c r="E145" s="71">
        <f>O96</f>
        <v>-40000</v>
      </c>
    </row>
    <row r="146" spans="2:5" ht="11" customHeight="1">
      <c r="B146" s="71"/>
      <c r="C146" s="72"/>
      <c r="D146" s="72"/>
      <c r="E146" s="72"/>
    </row>
    <row r="147" spans="2:5" ht="11" customHeight="1">
      <c r="B147" s="71"/>
      <c r="C147" s="71"/>
      <c r="D147" s="71"/>
      <c r="E147" s="71"/>
    </row>
    <row r="148" spans="2:5">
      <c r="B148" s="356" t="s">
        <v>382</v>
      </c>
      <c r="C148" s="74">
        <f t="shared" ref="C148:D148" si="48">C141+C143+C145</f>
        <v>38171.9391634981</v>
      </c>
      <c r="D148" s="74">
        <f t="shared" si="48"/>
        <v>36300.372670807454</v>
      </c>
      <c r="E148" s="74">
        <f t="shared" ref="E148" si="49">E141+E143+E145</f>
        <v>60334</v>
      </c>
    </row>
    <row r="149" spans="2:5" ht="11" customHeight="1">
      <c r="B149" s="72"/>
      <c r="C149" s="72"/>
      <c r="D149" s="72"/>
      <c r="E149" s="72"/>
    </row>
    <row r="150" spans="2:5" ht="11" customHeight="1">
      <c r="B150" s="86"/>
      <c r="C150" s="235"/>
      <c r="D150" s="235"/>
      <c r="E150" s="235"/>
    </row>
    <row r="151" spans="2:5">
      <c r="B151" s="83" t="s">
        <v>305</v>
      </c>
      <c r="C151" s="93"/>
      <c r="D151" s="93"/>
      <c r="E151" s="93"/>
    </row>
    <row r="152" spans="2:5" ht="11" customHeight="1">
      <c r="B152" s="71"/>
      <c r="C152" s="93"/>
      <c r="D152" s="93"/>
      <c r="E152" s="93"/>
    </row>
    <row r="153" spans="2:5">
      <c r="B153" s="71" t="s">
        <v>306</v>
      </c>
      <c r="C153" s="93">
        <f>M115</f>
        <v>0</v>
      </c>
      <c r="D153" s="93">
        <f>N115</f>
        <v>18000</v>
      </c>
      <c r="E153" s="93">
        <f>O115</f>
        <v>15000</v>
      </c>
    </row>
    <row r="154" spans="2:5" ht="11" customHeight="1">
      <c r="B154" s="71"/>
      <c r="C154" s="93"/>
      <c r="D154" s="93"/>
      <c r="E154" s="93"/>
    </row>
    <row r="155" spans="2:5">
      <c r="B155" s="83" t="s">
        <v>309</v>
      </c>
      <c r="C155" s="93"/>
      <c r="D155" s="93"/>
      <c r="E155" s="93"/>
    </row>
    <row r="156" spans="2:5" ht="11" customHeight="1">
      <c r="B156" s="71"/>
      <c r="C156" s="93"/>
      <c r="D156" s="93"/>
      <c r="E156" s="93"/>
    </row>
    <row r="157" spans="2:5">
      <c r="B157" s="71" t="s">
        <v>135</v>
      </c>
      <c r="C157" s="93">
        <f t="shared" ref="C157:E158" si="50">M119</f>
        <v>0</v>
      </c>
      <c r="D157" s="93">
        <f t="shared" si="50"/>
        <v>0</v>
      </c>
      <c r="E157" s="93">
        <f t="shared" si="50"/>
        <v>0</v>
      </c>
    </row>
    <row r="158" spans="2:5">
      <c r="B158" s="71" t="s">
        <v>145</v>
      </c>
      <c r="C158" s="93">
        <f t="shared" si="50"/>
        <v>-11854.38783269962</v>
      </c>
      <c r="D158" s="93">
        <f t="shared" si="50"/>
        <v>-15888.074534161491</v>
      </c>
      <c r="E158" s="93">
        <f t="shared" si="50"/>
        <v>-20694.8</v>
      </c>
    </row>
    <row r="159" spans="2:5" ht="11" customHeight="1">
      <c r="B159" s="71"/>
      <c r="C159" s="94"/>
      <c r="D159" s="94"/>
      <c r="E159" s="94"/>
    </row>
    <row r="160" spans="2:5" ht="11" customHeight="1">
      <c r="B160" s="71"/>
      <c r="C160" s="93"/>
      <c r="D160" s="93"/>
      <c r="E160" s="93"/>
    </row>
    <row r="161" spans="2:5">
      <c r="B161" s="74" t="s">
        <v>307</v>
      </c>
      <c r="C161" s="236">
        <f t="shared" ref="C161:D161" si="51">C153+C157+C158</f>
        <v>-11854.38783269962</v>
      </c>
      <c r="D161" s="236">
        <f t="shared" si="51"/>
        <v>2111.9254658385089</v>
      </c>
      <c r="E161" s="236">
        <f t="shared" ref="E161" si="52">E153+E157+E158</f>
        <v>-5694.7999999999993</v>
      </c>
    </row>
    <row r="162" spans="2:5" ht="11" customHeight="1">
      <c r="B162" s="72"/>
      <c r="C162" s="94"/>
      <c r="D162" s="94"/>
      <c r="E162" s="94"/>
    </row>
    <row r="163" spans="2:5" ht="11" customHeight="1">
      <c r="B163" s="71"/>
      <c r="C163" s="93"/>
      <c r="D163" s="93"/>
      <c r="E163" s="93"/>
    </row>
    <row r="164" spans="2:5" ht="19">
      <c r="B164" s="80" t="s">
        <v>152</v>
      </c>
      <c r="C164" s="236">
        <f>C148+C161</f>
        <v>26317.55133079848</v>
      </c>
      <c r="D164" s="236">
        <f>D148+D161</f>
        <v>38412.298136645964</v>
      </c>
      <c r="E164" s="236">
        <f>E148+E161</f>
        <v>54639.199999999997</v>
      </c>
    </row>
    <row r="165" spans="2:5" ht="11" customHeight="1">
      <c r="B165" s="72"/>
      <c r="C165" s="94"/>
      <c r="D165" s="94"/>
      <c r="E165" s="9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D4EA-70D6-7245-8610-784A22ED2E1A}">
  <dimension ref="B2:J143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30.1640625" style="46" customWidth="1"/>
    <col min="3" max="7" width="15" customWidth="1"/>
    <col min="8" max="9" width="15" style="89" customWidth="1"/>
    <col min="10" max="10" width="10.83203125" style="89"/>
  </cols>
  <sheetData>
    <row r="2" spans="2:9" ht="24">
      <c r="B2" s="155" t="s">
        <v>193</v>
      </c>
    </row>
    <row r="3" spans="2:9" ht="19">
      <c r="B3" s="108"/>
    </row>
    <row r="4" spans="2:9" ht="21">
      <c r="B4" s="148" t="s">
        <v>194</v>
      </c>
    </row>
    <row r="5" spans="2:9">
      <c r="B5"/>
    </row>
    <row r="6" spans="2:9" ht="19">
      <c r="B6" s="119"/>
      <c r="C6" s="157"/>
      <c r="D6" s="263"/>
      <c r="E6" s="263"/>
      <c r="F6" s="263"/>
      <c r="G6" s="193"/>
      <c r="H6" s="193"/>
      <c r="I6" s="193"/>
    </row>
    <row r="7" spans="2:9" s="75" customFormat="1" ht="19">
      <c r="B7" s="150"/>
      <c r="C7" s="158" t="s">
        <v>197</v>
      </c>
      <c r="D7" s="264" t="s">
        <v>279</v>
      </c>
      <c r="E7" s="264" t="s">
        <v>280</v>
      </c>
      <c r="F7" s="264" t="s">
        <v>147</v>
      </c>
      <c r="G7" s="195" t="s">
        <v>148</v>
      </c>
      <c r="H7" s="195" t="s">
        <v>149</v>
      </c>
      <c r="I7" s="195" t="s">
        <v>150</v>
      </c>
    </row>
    <row r="8" spans="2:9" ht="19">
      <c r="B8" s="152"/>
      <c r="C8" s="160"/>
      <c r="D8" s="265"/>
      <c r="E8" s="265"/>
      <c r="F8" s="265"/>
      <c r="G8" s="196"/>
      <c r="H8" s="196"/>
      <c r="I8" s="196"/>
    </row>
    <row r="9" spans="2:9" ht="19">
      <c r="B9" s="151" t="s">
        <v>2</v>
      </c>
      <c r="C9" s="161">
        <v>1400</v>
      </c>
      <c r="D9" s="266">
        <v>1900</v>
      </c>
      <c r="E9" s="266">
        <v>1800</v>
      </c>
      <c r="F9" s="266">
        <v>2000</v>
      </c>
      <c r="G9" s="198">
        <v>3500</v>
      </c>
      <c r="H9" s="198">
        <v>5000</v>
      </c>
      <c r="I9" s="198">
        <v>7000</v>
      </c>
    </row>
    <row r="10" spans="2:9" ht="19">
      <c r="B10" s="151" t="s">
        <v>3</v>
      </c>
      <c r="C10" s="162">
        <v>1500</v>
      </c>
      <c r="D10" s="267">
        <v>1700</v>
      </c>
      <c r="E10" s="267">
        <v>1200</v>
      </c>
      <c r="F10" s="267">
        <v>2300</v>
      </c>
      <c r="G10" s="199">
        <v>3000</v>
      </c>
      <c r="H10" s="199">
        <v>4500</v>
      </c>
      <c r="I10" s="199">
        <v>6000</v>
      </c>
    </row>
    <row r="11" spans="2:9" ht="15" customHeight="1">
      <c r="B11" s="151"/>
      <c r="C11" s="161"/>
      <c r="D11" s="266"/>
      <c r="E11" s="266"/>
      <c r="F11" s="266"/>
      <c r="G11" s="198"/>
      <c r="H11" s="198"/>
      <c r="I11" s="198"/>
    </row>
    <row r="12" spans="2:9" ht="19">
      <c r="B12" s="151" t="s">
        <v>6</v>
      </c>
      <c r="C12" s="161">
        <f t="shared" ref="C12" si="0">SUM(C9:C10)</f>
        <v>2900</v>
      </c>
      <c r="D12" s="266">
        <f>SUM(D9:D10)</f>
        <v>3600</v>
      </c>
      <c r="E12" s="266">
        <f t="shared" ref="E12:F12" si="1">SUM(E9:E10)</f>
        <v>3000</v>
      </c>
      <c r="F12" s="266">
        <f t="shared" si="1"/>
        <v>4300</v>
      </c>
      <c r="G12" s="198">
        <f>SUM(G9:G10)</f>
        <v>6500</v>
      </c>
      <c r="H12" s="198">
        <f t="shared" ref="H12:I12" si="2">SUM(H9:H10)</f>
        <v>9500</v>
      </c>
      <c r="I12" s="198">
        <f t="shared" si="2"/>
        <v>13000</v>
      </c>
    </row>
    <row r="13" spans="2:9" ht="12" customHeight="1">
      <c r="B13" s="120"/>
      <c r="C13" s="164"/>
      <c r="D13" s="268"/>
      <c r="E13" s="268"/>
      <c r="F13" s="268"/>
      <c r="G13" s="200"/>
      <c r="H13" s="200"/>
      <c r="I13" s="200"/>
    </row>
    <row r="14" spans="2:9" ht="19">
      <c r="B14" s="121"/>
      <c r="E14" s="89"/>
      <c r="F14" s="89"/>
    </row>
    <row r="15" spans="2:9" ht="21">
      <c r="B15" s="148" t="s">
        <v>276</v>
      </c>
      <c r="E15" s="89"/>
      <c r="F15" s="89"/>
    </row>
    <row r="16" spans="2:9" ht="21">
      <c r="B16" s="148"/>
      <c r="E16" s="89"/>
      <c r="F16" s="89"/>
    </row>
    <row r="17" spans="2:9">
      <c r="B17" s="51"/>
      <c r="C17" s="174"/>
      <c r="D17" s="269"/>
      <c r="E17" s="247"/>
      <c r="F17" s="247"/>
      <c r="G17" s="102"/>
      <c r="H17" s="271"/>
      <c r="I17" s="271"/>
    </row>
    <row r="18" spans="2:9" ht="19">
      <c r="B18" s="56" t="s">
        <v>260</v>
      </c>
      <c r="C18" s="161">
        <f>'Development plan Q3'!F18</f>
        <v>1</v>
      </c>
      <c r="D18" s="266">
        <f>'July-2'!C12</f>
        <v>1</v>
      </c>
      <c r="E18" s="266">
        <f>'August-2'!C12</f>
        <v>1</v>
      </c>
      <c r="F18" s="266">
        <f>'September-2'!C13</f>
        <v>2</v>
      </c>
      <c r="G18" s="198">
        <f>F18+C43</f>
        <v>3</v>
      </c>
      <c r="H18" s="198">
        <f t="shared" ref="H18:H20" si="3">G18</f>
        <v>3</v>
      </c>
      <c r="I18" s="198">
        <f t="shared" ref="I18:I19" si="4">H18</f>
        <v>3</v>
      </c>
    </row>
    <row r="19" spans="2:9" ht="19">
      <c r="B19" s="56" t="s">
        <v>259</v>
      </c>
      <c r="C19" s="161">
        <f>'Development plan Q3'!F19</f>
        <v>1</v>
      </c>
      <c r="D19" s="266">
        <f>'July-2'!C17</f>
        <v>1</v>
      </c>
      <c r="E19" s="266">
        <f>'August-2'!C17</f>
        <v>1</v>
      </c>
      <c r="F19" s="266">
        <f>'September-2'!C18</f>
        <v>1</v>
      </c>
      <c r="G19" s="198">
        <f t="shared" ref="G19:G20" si="5">F19</f>
        <v>1</v>
      </c>
      <c r="H19" s="198">
        <f t="shared" si="3"/>
        <v>1</v>
      </c>
      <c r="I19" s="198">
        <f t="shared" si="4"/>
        <v>1</v>
      </c>
    </row>
    <row r="20" spans="2:9" ht="19">
      <c r="B20" s="56" t="s">
        <v>277</v>
      </c>
      <c r="C20" s="162"/>
      <c r="D20" s="267">
        <f>'July-2'!C14</f>
        <v>3</v>
      </c>
      <c r="E20" s="267">
        <f>'August-2'!C14</f>
        <v>4</v>
      </c>
      <c r="F20" s="267">
        <f>'September-2'!C15</f>
        <v>5</v>
      </c>
      <c r="G20" s="199">
        <f t="shared" si="5"/>
        <v>5</v>
      </c>
      <c r="H20" s="199">
        <f t="shared" si="3"/>
        <v>5</v>
      </c>
      <c r="I20" s="199">
        <f>H20+C44</f>
        <v>7</v>
      </c>
    </row>
    <row r="21" spans="2:9" ht="19">
      <c r="B21" s="56"/>
      <c r="C21" s="161"/>
      <c r="D21" s="266"/>
      <c r="E21" s="266"/>
      <c r="F21" s="266"/>
      <c r="G21" s="198"/>
      <c r="H21" s="198"/>
      <c r="I21" s="198"/>
    </row>
    <row r="22" spans="2:9" ht="19">
      <c r="B22" s="56" t="s">
        <v>6</v>
      </c>
      <c r="C22" s="161">
        <f t="shared" ref="C22:E22" si="6">SUM(C18:C20)</f>
        <v>2</v>
      </c>
      <c r="D22" s="266">
        <f t="shared" si="6"/>
        <v>5</v>
      </c>
      <c r="E22" s="266">
        <f t="shared" si="6"/>
        <v>6</v>
      </c>
      <c r="F22" s="266">
        <f>SUM(F18:F20)</f>
        <v>8</v>
      </c>
      <c r="G22" s="198">
        <f t="shared" ref="G22:H22" si="7">SUM(G18:G20)</f>
        <v>9</v>
      </c>
      <c r="H22" s="198">
        <f t="shared" si="7"/>
        <v>9</v>
      </c>
      <c r="I22" s="198">
        <f>SUM(I18:I20)</f>
        <v>11</v>
      </c>
    </row>
    <row r="23" spans="2:9">
      <c r="B23" s="54"/>
      <c r="C23" s="176"/>
      <c r="D23" s="270"/>
      <c r="E23" s="270"/>
      <c r="F23" s="270"/>
      <c r="G23" s="272"/>
      <c r="H23" s="272"/>
      <c r="I23" s="272"/>
    </row>
    <row r="24" spans="2:9">
      <c r="B24" s="51"/>
      <c r="C24" s="174"/>
      <c r="D24" s="269"/>
      <c r="E24" s="247"/>
      <c r="F24" s="247"/>
      <c r="G24" s="102"/>
      <c r="H24" s="271"/>
      <c r="I24" s="271"/>
    </row>
    <row r="25" spans="2:9" ht="19">
      <c r="B25" s="56" t="s">
        <v>260</v>
      </c>
      <c r="C25" s="161">
        <f>'Development plan Q3'!F25</f>
        <v>1500</v>
      </c>
      <c r="D25" s="266">
        <f t="shared" ref="D25:I27" si="8">D18*ING</f>
        <v>1500</v>
      </c>
      <c r="E25" s="266">
        <f t="shared" si="8"/>
        <v>1500</v>
      </c>
      <c r="F25" s="266">
        <f t="shared" si="8"/>
        <v>3000</v>
      </c>
      <c r="G25" s="198">
        <f t="shared" si="8"/>
        <v>4500</v>
      </c>
      <c r="H25" s="198">
        <f t="shared" si="8"/>
        <v>4500</v>
      </c>
      <c r="I25" s="198">
        <f t="shared" si="8"/>
        <v>4500</v>
      </c>
    </row>
    <row r="26" spans="2:9" ht="19">
      <c r="B26" s="56" t="s">
        <v>259</v>
      </c>
      <c r="C26" s="161">
        <f>'Development plan Q3'!F26</f>
        <v>1500</v>
      </c>
      <c r="D26" s="266">
        <f t="shared" si="8"/>
        <v>1500</v>
      </c>
      <c r="E26" s="266">
        <f t="shared" si="8"/>
        <v>1500</v>
      </c>
      <c r="F26" s="266">
        <f t="shared" si="8"/>
        <v>1500</v>
      </c>
      <c r="G26" s="198">
        <f t="shared" si="8"/>
        <v>1500</v>
      </c>
      <c r="H26" s="198">
        <f t="shared" si="8"/>
        <v>1500</v>
      </c>
      <c r="I26" s="198">
        <f t="shared" si="8"/>
        <v>1500</v>
      </c>
    </row>
    <row r="27" spans="2:9" ht="19">
      <c r="B27" s="56" t="s">
        <v>277</v>
      </c>
      <c r="C27" s="162"/>
      <c r="D27" s="267">
        <f t="shared" si="8"/>
        <v>4500</v>
      </c>
      <c r="E27" s="267">
        <f t="shared" si="8"/>
        <v>6000</v>
      </c>
      <c r="F27" s="267">
        <f t="shared" si="8"/>
        <v>7500</v>
      </c>
      <c r="G27" s="199">
        <f t="shared" si="8"/>
        <v>7500</v>
      </c>
      <c r="H27" s="199">
        <f t="shared" si="8"/>
        <v>7500</v>
      </c>
      <c r="I27" s="199">
        <f t="shared" si="8"/>
        <v>10500</v>
      </c>
    </row>
    <row r="28" spans="2:9" ht="19">
      <c r="B28" s="56"/>
      <c r="C28" s="161"/>
      <c r="D28" s="266"/>
      <c r="E28" s="266"/>
      <c r="F28" s="266"/>
      <c r="G28" s="198"/>
      <c r="H28" s="198"/>
      <c r="I28" s="198"/>
    </row>
    <row r="29" spans="2:9" ht="19">
      <c r="B29" s="56" t="s">
        <v>6</v>
      </c>
      <c r="C29" s="161">
        <f t="shared" ref="C29:E29" si="9">SUM(C25:C27)</f>
        <v>3000</v>
      </c>
      <c r="D29" s="266">
        <f t="shared" si="9"/>
        <v>7500</v>
      </c>
      <c r="E29" s="266">
        <f t="shared" si="9"/>
        <v>9000</v>
      </c>
      <c r="F29" s="266">
        <f>SUM(F25:F27)</f>
        <v>12000</v>
      </c>
      <c r="G29" s="198">
        <f t="shared" ref="G29:H29" si="10">SUM(G25:G27)</f>
        <v>13500</v>
      </c>
      <c r="H29" s="198">
        <f t="shared" si="10"/>
        <v>13500</v>
      </c>
      <c r="I29" s="198">
        <f>SUM(I25:I27)</f>
        <v>16500</v>
      </c>
    </row>
    <row r="30" spans="2:9">
      <c r="B30" s="54"/>
      <c r="C30" s="176"/>
      <c r="D30" s="270"/>
      <c r="E30" s="270"/>
      <c r="F30" s="270"/>
      <c r="G30" s="272"/>
      <c r="H30" s="272"/>
      <c r="I30" s="272"/>
    </row>
    <row r="32" spans="2:9">
      <c r="B32"/>
      <c r="H32"/>
      <c r="I32"/>
    </row>
    <row r="33" spans="2:10" ht="21">
      <c r="B33" s="148" t="s">
        <v>198</v>
      </c>
      <c r="G33" s="89"/>
      <c r="I33"/>
    </row>
    <row r="34" spans="2:10" ht="19">
      <c r="B34" s="108"/>
      <c r="G34" s="89"/>
      <c r="I34"/>
      <c r="J34"/>
    </row>
    <row r="35" spans="2:10" s="109" customFormat="1" ht="19">
      <c r="B35" s="202"/>
      <c r="C35" s="203"/>
      <c r="D35" s="203"/>
      <c r="E35" s="203"/>
      <c r="F35" s="203"/>
      <c r="G35" s="204"/>
      <c r="H35" s="204"/>
      <c r="I35" s="60"/>
      <c r="J35"/>
    </row>
    <row r="36" spans="2:10" ht="19">
      <c r="B36" s="206" t="s">
        <v>324</v>
      </c>
      <c r="C36" s="207">
        <v>300000</v>
      </c>
      <c r="D36" s="45" t="s">
        <v>204</v>
      </c>
      <c r="E36" s="226">
        <v>5</v>
      </c>
      <c r="F36" s="208" t="s">
        <v>205</v>
      </c>
      <c r="G36" s="212">
        <f>E36*12</f>
        <v>60</v>
      </c>
      <c r="H36" s="45" t="s">
        <v>227</v>
      </c>
      <c r="I36" s="61"/>
      <c r="J36"/>
    </row>
    <row r="37" spans="2:10" ht="19">
      <c r="B37" s="206" t="s">
        <v>200</v>
      </c>
      <c r="C37" s="209">
        <v>30000</v>
      </c>
      <c r="D37" s="45" t="s">
        <v>329</v>
      </c>
      <c r="E37" s="45"/>
      <c r="F37" s="45"/>
      <c r="G37" s="210"/>
      <c r="H37" s="210"/>
      <c r="I37" s="61"/>
      <c r="J37"/>
    </row>
    <row r="38" spans="2:10" ht="19">
      <c r="B38" s="206" t="s">
        <v>325</v>
      </c>
      <c r="C38" s="212">
        <v>12</v>
      </c>
      <c r="D38" s="208" t="s">
        <v>330</v>
      </c>
      <c r="E38" s="45"/>
      <c r="F38" s="212">
        <v>16</v>
      </c>
      <c r="G38" s="208" t="s">
        <v>338</v>
      </c>
      <c r="I38" s="61"/>
      <c r="J38"/>
    </row>
    <row r="39" spans="2:10" ht="19">
      <c r="B39" s="206" t="s">
        <v>326</v>
      </c>
      <c r="C39" s="207">
        <v>1000</v>
      </c>
      <c r="D39" s="208" t="s">
        <v>331</v>
      </c>
      <c r="E39" s="45"/>
      <c r="F39" s="45"/>
      <c r="G39" s="210"/>
      <c r="H39" s="210"/>
      <c r="I39" s="61"/>
      <c r="J39"/>
    </row>
    <row r="40" spans="2:10" ht="19">
      <c r="B40" s="206" t="s">
        <v>327</v>
      </c>
      <c r="C40" s="212">
        <v>16</v>
      </c>
      <c r="D40" s="45" t="s">
        <v>332</v>
      </c>
      <c r="E40" s="210"/>
      <c r="F40" s="45"/>
      <c r="G40" s="210"/>
      <c r="H40" s="210"/>
      <c r="I40" s="61"/>
      <c r="J40"/>
    </row>
    <row r="41" spans="2:10" ht="19">
      <c r="B41" s="206" t="s">
        <v>328</v>
      </c>
      <c r="C41" s="212">
        <v>2</v>
      </c>
      <c r="D41" s="45" t="s">
        <v>333</v>
      </c>
      <c r="F41" s="207">
        <f>ADOP</f>
        <v>1000</v>
      </c>
      <c r="G41" s="208" t="s">
        <v>331</v>
      </c>
      <c r="H41" s="45"/>
      <c r="I41" s="61"/>
      <c r="J41"/>
    </row>
    <row r="42" spans="2:10" ht="19">
      <c r="B42" s="206"/>
      <c r="C42" s="212">
        <v>3</v>
      </c>
      <c r="D42" s="45" t="s">
        <v>334</v>
      </c>
      <c r="E42" s="210"/>
      <c r="F42" s="207">
        <f>MKT</f>
        <v>1300</v>
      </c>
      <c r="G42" s="208" t="s">
        <v>331</v>
      </c>
      <c r="H42" s="210"/>
      <c r="I42" s="61"/>
      <c r="J42"/>
    </row>
    <row r="43" spans="2:10" ht="19">
      <c r="B43" s="206"/>
      <c r="C43" s="212">
        <v>1</v>
      </c>
      <c r="D43" s="45" t="s">
        <v>335</v>
      </c>
      <c r="E43" s="210"/>
      <c r="F43" s="207">
        <f>ING</f>
        <v>1500</v>
      </c>
      <c r="G43" s="208" t="s">
        <v>331</v>
      </c>
      <c r="H43" s="210"/>
      <c r="I43" s="61"/>
      <c r="J43"/>
    </row>
    <row r="44" spans="2:10" ht="19">
      <c r="B44" s="206"/>
      <c r="C44" s="212">
        <v>2</v>
      </c>
      <c r="D44" s="45" t="s">
        <v>336</v>
      </c>
      <c r="E44" s="210"/>
      <c r="F44" s="207">
        <f>ING</f>
        <v>1500</v>
      </c>
      <c r="G44" s="208" t="s">
        <v>331</v>
      </c>
      <c r="H44" s="210"/>
      <c r="I44" s="61"/>
      <c r="J44"/>
    </row>
    <row r="45" spans="2:10" ht="19">
      <c r="B45" s="206" t="s">
        <v>356</v>
      </c>
      <c r="C45" s="207">
        <v>6000</v>
      </c>
      <c r="D45" s="208" t="s">
        <v>337</v>
      </c>
      <c r="E45" s="210"/>
      <c r="F45" s="207"/>
      <c r="G45" s="208"/>
      <c r="H45" s="210"/>
      <c r="I45" s="61"/>
      <c r="J45"/>
    </row>
    <row r="46" spans="2:10" ht="19">
      <c r="B46" s="213"/>
      <c r="C46" s="214"/>
      <c r="D46" s="214"/>
      <c r="E46" s="214"/>
      <c r="F46" s="214"/>
      <c r="G46" s="215"/>
      <c r="H46" s="215"/>
      <c r="I46" s="63"/>
      <c r="J46"/>
    </row>
    <row r="47" spans="2:10">
      <c r="B47"/>
      <c r="H47"/>
      <c r="I47"/>
      <c r="J47"/>
    </row>
    <row r="48" spans="2:10">
      <c r="B48"/>
      <c r="H48"/>
      <c r="I48"/>
      <c r="J48"/>
    </row>
    <row r="49" spans="2:10" ht="22">
      <c r="B49" s="222" t="s">
        <v>228</v>
      </c>
      <c r="H49"/>
      <c r="I49"/>
      <c r="J49"/>
    </row>
    <row r="50" spans="2:10" ht="19">
      <c r="B50" s="110"/>
      <c r="H50"/>
      <c r="I50"/>
      <c r="J50"/>
    </row>
    <row r="51" spans="2:10" ht="10" customHeight="1">
      <c r="B51" s="149"/>
      <c r="C51" s="274"/>
      <c r="D51" s="274"/>
      <c r="E51" s="277"/>
      <c r="F51" s="149"/>
      <c r="G51" s="45"/>
      <c r="H51" s="45"/>
      <c r="I51"/>
    </row>
    <row r="52" spans="2:10" ht="19">
      <c r="B52" s="224" t="s">
        <v>324</v>
      </c>
      <c r="C52" s="371">
        <f>C36</f>
        <v>300000</v>
      </c>
      <c r="D52" s="280" t="s">
        <v>342</v>
      </c>
      <c r="E52" s="281"/>
      <c r="F52" s="368">
        <v>1000000</v>
      </c>
      <c r="G52" s="45"/>
      <c r="H52" s="45"/>
      <c r="I52"/>
    </row>
    <row r="53" spans="2:10" ht="10" customHeight="1">
      <c r="B53" s="55"/>
      <c r="C53" s="64"/>
      <c r="D53" s="64"/>
      <c r="E53" s="65"/>
      <c r="F53" s="153"/>
      <c r="G53" s="45"/>
      <c r="H53" s="45"/>
      <c r="I53"/>
    </row>
    <row r="54" spans="2:10" ht="19">
      <c r="B54" s="224" t="s">
        <v>229</v>
      </c>
      <c r="C54" s="371">
        <v>200000</v>
      </c>
      <c r="D54" s="64" t="s">
        <v>54</v>
      </c>
      <c r="E54" s="65"/>
      <c r="F54" s="153">
        <f>NA</f>
        <v>1000</v>
      </c>
      <c r="G54" s="45"/>
      <c r="H54" s="45"/>
      <c r="I54"/>
    </row>
    <row r="55" spans="2:10" ht="10" customHeight="1">
      <c r="B55" s="55"/>
      <c r="C55" s="275"/>
      <c r="D55" s="64"/>
      <c r="E55" s="65"/>
      <c r="F55" s="153"/>
      <c r="G55" s="45"/>
      <c r="H55" s="45"/>
      <c r="I55"/>
    </row>
    <row r="56" spans="2:10" ht="19">
      <c r="B56" s="55" t="s">
        <v>230</v>
      </c>
      <c r="C56" s="276">
        <v>0.06</v>
      </c>
      <c r="D56" s="64" t="s">
        <v>343</v>
      </c>
      <c r="E56" s="65"/>
      <c r="F56" s="369">
        <f>F52/F54</f>
        <v>1000</v>
      </c>
      <c r="G56" s="45"/>
      <c r="H56" s="45"/>
      <c r="I56"/>
    </row>
    <row r="57" spans="2:10" ht="10" customHeight="1">
      <c r="B57" s="55"/>
      <c r="C57" s="276"/>
      <c r="D57" s="64"/>
      <c r="E57" s="65"/>
      <c r="F57" s="153"/>
      <c r="G57" s="45"/>
      <c r="H57" s="45"/>
      <c r="I57"/>
    </row>
    <row r="58" spans="2:10" ht="19">
      <c r="B58" s="55" t="s">
        <v>339</v>
      </c>
      <c r="C58" s="276"/>
      <c r="D58" s="64" t="s">
        <v>344</v>
      </c>
      <c r="E58" s="65"/>
      <c r="F58" s="369">
        <f>F56</f>
        <v>1000</v>
      </c>
      <c r="G58" s="45"/>
      <c r="H58" s="45"/>
      <c r="I58"/>
    </row>
    <row r="59" spans="2:10" ht="10" customHeight="1">
      <c r="B59" s="55"/>
      <c r="C59" s="206"/>
      <c r="D59" s="64"/>
      <c r="E59" s="65"/>
      <c r="F59" s="153"/>
      <c r="G59" s="45"/>
      <c r="H59" s="45"/>
      <c r="I59"/>
    </row>
    <row r="60" spans="2:10" ht="19">
      <c r="B60" s="55" t="s">
        <v>232</v>
      </c>
      <c r="C60" s="370">
        <f>C54*C56/12</f>
        <v>1000</v>
      </c>
      <c r="D60" s="64" t="s">
        <v>345</v>
      </c>
      <c r="E60" s="65"/>
      <c r="F60" s="369">
        <f>F58-PAR</f>
        <v>990</v>
      </c>
      <c r="G60" s="45"/>
      <c r="H60" s="45"/>
      <c r="I60"/>
    </row>
    <row r="61" spans="2:10" ht="10" customHeight="1">
      <c r="B61" s="55"/>
      <c r="C61" s="206"/>
      <c r="D61" s="64"/>
      <c r="E61" s="65"/>
      <c r="F61" s="153"/>
      <c r="G61" s="45"/>
      <c r="H61" s="45"/>
      <c r="I61"/>
    </row>
    <row r="62" spans="2:10" ht="19">
      <c r="B62" s="224" t="s">
        <v>340</v>
      </c>
      <c r="C62" s="371">
        <f>C52-C54</f>
        <v>100000</v>
      </c>
      <c r="D62" s="64" t="s">
        <v>346</v>
      </c>
      <c r="E62" s="65"/>
      <c r="F62" s="153">
        <f>C62/F58</f>
        <v>100</v>
      </c>
      <c r="G62" s="45"/>
      <c r="H62" s="45"/>
      <c r="I62"/>
    </row>
    <row r="63" spans="2:10" ht="10" customHeight="1">
      <c r="B63" s="57"/>
      <c r="C63" s="67"/>
      <c r="D63" s="67"/>
      <c r="E63" s="68"/>
      <c r="F63" s="279"/>
      <c r="G63" s="45"/>
      <c r="H63" s="45"/>
      <c r="I63"/>
    </row>
    <row r="64" spans="2:10" ht="10" customHeight="1">
      <c r="B64" s="50"/>
      <c r="C64" s="59"/>
      <c r="D64" s="59"/>
      <c r="E64" s="60"/>
      <c r="F64" s="50"/>
      <c r="H64"/>
      <c r="I64"/>
    </row>
    <row r="65" spans="2:9" ht="16" customHeight="1">
      <c r="B65" s="225" t="s">
        <v>341</v>
      </c>
      <c r="C65" s="273"/>
      <c r="D65" s="273"/>
      <c r="E65" s="282"/>
      <c r="F65" s="278"/>
      <c r="H65"/>
      <c r="I65"/>
    </row>
    <row r="66" spans="2:9" ht="10" customHeight="1">
      <c r="B66" s="278"/>
      <c r="C66" s="273"/>
      <c r="D66" s="273"/>
      <c r="E66" s="282"/>
      <c r="F66" s="278"/>
      <c r="H66"/>
      <c r="I66"/>
    </row>
    <row r="67" spans="2:9" ht="16" customHeight="1">
      <c r="B67" s="278" t="s">
        <v>340</v>
      </c>
      <c r="C67" s="370">
        <v>100000</v>
      </c>
      <c r="D67" s="273" t="s">
        <v>62</v>
      </c>
      <c r="E67" s="282"/>
      <c r="F67" s="369">
        <f>F62*PAR</f>
        <v>1000</v>
      </c>
      <c r="H67"/>
      <c r="I67"/>
    </row>
    <row r="68" spans="2:9" ht="10" customHeight="1">
      <c r="B68" s="278"/>
      <c r="C68" s="275"/>
      <c r="D68" s="273"/>
      <c r="E68" s="282"/>
      <c r="F68" s="153"/>
      <c r="H68"/>
      <c r="I68"/>
    </row>
    <row r="69" spans="2:9" ht="16" customHeight="1">
      <c r="B69" s="278" t="s">
        <v>34</v>
      </c>
      <c r="C69" s="283">
        <f>F62/F54</f>
        <v>0.1</v>
      </c>
      <c r="D69" s="273" t="s">
        <v>347</v>
      </c>
      <c r="E69" s="282"/>
      <c r="F69" s="369">
        <f>F60*F62</f>
        <v>99000</v>
      </c>
      <c r="H69"/>
      <c r="I69"/>
    </row>
    <row r="70" spans="2:9" ht="10" customHeight="1">
      <c r="B70" s="54"/>
      <c r="C70" s="62"/>
      <c r="D70" s="62"/>
      <c r="E70" s="63"/>
      <c r="F70" s="53"/>
      <c r="H70"/>
      <c r="I70"/>
    </row>
    <row r="71" spans="2:9" ht="16" customHeight="1">
      <c r="B71"/>
      <c r="H71"/>
      <c r="I71"/>
    </row>
    <row r="72" spans="2:9" ht="16" customHeight="1">
      <c r="B72"/>
      <c r="H72"/>
      <c r="I72"/>
    </row>
    <row r="73" spans="2:9" ht="16" customHeight="1">
      <c r="B73"/>
      <c r="H73"/>
      <c r="I73"/>
    </row>
    <row r="74" spans="2:9">
      <c r="B74" t="s">
        <v>1</v>
      </c>
      <c r="H74"/>
      <c r="I74"/>
    </row>
    <row r="75" spans="2:9">
      <c r="B75"/>
      <c r="H75"/>
      <c r="I75"/>
    </row>
    <row r="76" spans="2:9">
      <c r="B76"/>
      <c r="H76"/>
      <c r="I76"/>
    </row>
    <row r="77" spans="2:9">
      <c r="B77"/>
      <c r="H77"/>
      <c r="I77"/>
    </row>
    <row r="78" spans="2:9">
      <c r="B78"/>
      <c r="H78"/>
      <c r="I78"/>
    </row>
    <row r="79" spans="2:9">
      <c r="B79"/>
      <c r="H79"/>
      <c r="I79"/>
    </row>
    <row r="80" spans="2:9">
      <c r="B80"/>
      <c r="H80"/>
      <c r="I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7889-C81F-0F42-8BDB-D0A4413F298C}">
  <dimension ref="B2:I45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33203125" style="1" customWidth="1"/>
    <col min="2" max="2" width="22.6640625" style="1" customWidth="1"/>
    <col min="3" max="3" width="12.1640625" style="1" customWidth="1"/>
    <col min="4" max="4" width="21.33203125" style="1" customWidth="1"/>
    <col min="5" max="5" width="6.83203125" style="1" customWidth="1"/>
    <col min="6" max="6" width="8.5" style="2" customWidth="1"/>
    <col min="7" max="7" width="7" style="1" customWidth="1"/>
    <col min="8" max="16384" width="10.83203125" style="1"/>
  </cols>
  <sheetData>
    <row r="2" spans="2:9" ht="19">
      <c r="B2" s="12" t="s">
        <v>64</v>
      </c>
    </row>
    <row r="3" spans="2:9">
      <c r="F3" s="29"/>
      <c r="G3" s="15"/>
      <c r="H3" s="24" t="s">
        <v>2</v>
      </c>
      <c r="I3" s="17"/>
    </row>
    <row r="4" spans="2:9">
      <c r="B4" s="1" t="s">
        <v>65</v>
      </c>
      <c r="D4" s="1">
        <f>F4*H4</f>
        <v>6000</v>
      </c>
      <c r="F4" s="9">
        <v>200</v>
      </c>
      <c r="G4" s="2" t="s">
        <v>70</v>
      </c>
      <c r="H4" s="1">
        <f>PVB2C</f>
        <v>30</v>
      </c>
      <c r="I4" s="10" t="s">
        <v>71</v>
      </c>
    </row>
    <row r="5" spans="2:9">
      <c r="F5" s="9"/>
      <c r="G5" s="2"/>
      <c r="I5" s="10"/>
    </row>
    <row r="6" spans="2:9">
      <c r="B6" s="1" t="s">
        <v>66</v>
      </c>
      <c r="D6" s="33">
        <f>-F6*H6</f>
        <v>-4000</v>
      </c>
      <c r="F6" s="326">
        <f>F4</f>
        <v>200</v>
      </c>
      <c r="G6" s="25" t="s">
        <v>70</v>
      </c>
      <c r="H6" s="33">
        <f>PAP</f>
        <v>20</v>
      </c>
      <c r="I6" s="8" t="s">
        <v>71</v>
      </c>
    </row>
    <row r="8" spans="2:9">
      <c r="B8" s="1" t="s">
        <v>67</v>
      </c>
      <c r="D8" s="1">
        <f>D4+D6</f>
        <v>2000</v>
      </c>
    </row>
    <row r="10" spans="2:9">
      <c r="B10" s="1" t="s">
        <v>68</v>
      </c>
      <c r="D10" s="11">
        <f>-MAN*H10</f>
        <v>-1000</v>
      </c>
      <c r="F10" s="44" t="s">
        <v>41</v>
      </c>
      <c r="G10" s="17"/>
      <c r="H10" s="297">
        <v>0.5</v>
      </c>
    </row>
    <row r="12" spans="2:9">
      <c r="B12" s="1" t="s">
        <v>69</v>
      </c>
      <c r="D12" s="1">
        <f>D8+D10</f>
        <v>1000</v>
      </c>
    </row>
    <row r="15" spans="2:9" ht="19">
      <c r="B15" s="12" t="s">
        <v>72</v>
      </c>
    </row>
    <row r="17" spans="2:8">
      <c r="B17" s="1" t="s">
        <v>73</v>
      </c>
      <c r="D17" s="39">
        <f>D4</f>
        <v>6000</v>
      </c>
    </row>
    <row r="18" spans="2:8">
      <c r="B18" s="1" t="s">
        <v>1</v>
      </c>
      <c r="H18" s="1" t="s">
        <v>1</v>
      </c>
    </row>
    <row r="19" spans="2:8">
      <c r="B19" s="1" t="s">
        <v>74</v>
      </c>
    </row>
    <row r="20" spans="2:8">
      <c r="C20" s="1" t="s">
        <v>98</v>
      </c>
      <c r="D20" s="1">
        <f>D6</f>
        <v>-4000</v>
      </c>
    </row>
    <row r="21" spans="2:8">
      <c r="C21" s="1" t="s">
        <v>75</v>
      </c>
      <c r="D21" s="1">
        <f>D10</f>
        <v>-1000</v>
      </c>
    </row>
    <row r="23" spans="2:8">
      <c r="B23" s="1" t="s">
        <v>76</v>
      </c>
      <c r="D23" s="39">
        <f>SUM(D20:D21)</f>
        <v>-5000</v>
      </c>
      <c r="F23" s="2" t="s">
        <v>1</v>
      </c>
    </row>
    <row r="25" spans="2:8">
      <c r="B25" s="26" t="s">
        <v>77</v>
      </c>
      <c r="C25" s="26"/>
      <c r="D25" s="26">
        <f>D17+D23</f>
        <v>1000</v>
      </c>
    </row>
    <row r="27" spans="2:8">
      <c r="B27" s="1" t="s">
        <v>78</v>
      </c>
      <c r="D27" s="1">
        <f>'August-1'!C6</f>
        <v>10000</v>
      </c>
    </row>
    <row r="29" spans="2:8">
      <c r="B29" s="1" t="s">
        <v>79</v>
      </c>
      <c r="D29" s="27">
        <f>D25+D27</f>
        <v>11000</v>
      </c>
    </row>
    <row r="32" spans="2:8" ht="19">
      <c r="B32" s="12" t="s">
        <v>80</v>
      </c>
    </row>
    <row r="34" spans="2:5" ht="9" customHeight="1">
      <c r="B34" s="3"/>
      <c r="C34" s="4"/>
      <c r="D34" s="3"/>
      <c r="E34" s="4"/>
    </row>
    <row r="35" spans="2:5">
      <c r="B35" s="5" t="s">
        <v>60</v>
      </c>
      <c r="C35" s="6"/>
      <c r="D35" s="5" t="s">
        <v>61</v>
      </c>
      <c r="E35" s="6"/>
    </row>
    <row r="36" spans="2:5" ht="10" customHeight="1">
      <c r="B36" s="7"/>
      <c r="C36" s="8"/>
      <c r="D36" s="7"/>
      <c r="E36" s="8"/>
    </row>
    <row r="37" spans="2:5">
      <c r="B37" s="3"/>
      <c r="C37" s="4"/>
      <c r="D37" s="3"/>
      <c r="E37" s="4"/>
    </row>
    <row r="38" spans="2:5">
      <c r="B38" s="9"/>
      <c r="C38" s="10"/>
      <c r="D38" s="9" t="s">
        <v>62</v>
      </c>
      <c r="E38" s="10">
        <f>NA*PAR</f>
        <v>10000</v>
      </c>
    </row>
    <row r="39" spans="2:5">
      <c r="B39" s="9"/>
      <c r="C39" s="10"/>
      <c r="D39" s="9" t="s">
        <v>81</v>
      </c>
      <c r="E39" s="8">
        <f>D12</f>
        <v>1000</v>
      </c>
    </row>
    <row r="40" spans="2:5">
      <c r="B40" s="9"/>
      <c r="C40" s="10"/>
      <c r="D40" s="9"/>
      <c r="E40" s="10"/>
    </row>
    <row r="41" spans="2:5">
      <c r="B41" s="9" t="s">
        <v>63</v>
      </c>
      <c r="C41" s="28">
        <f>'September-1'!D29</f>
        <v>11000</v>
      </c>
      <c r="D41" s="9" t="s">
        <v>82</v>
      </c>
      <c r="E41" s="10">
        <f>E38+E39</f>
        <v>11000</v>
      </c>
    </row>
    <row r="42" spans="2:5">
      <c r="B42" s="7"/>
      <c r="C42" s="8"/>
      <c r="D42" s="7"/>
      <c r="E42" s="8"/>
    </row>
    <row r="45" spans="2:5">
      <c r="D45" s="1" t="s"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BF34-7D45-714C-AB14-53C9681DB995}">
  <dimension ref="B2:N148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42" style="1" customWidth="1"/>
    <col min="3" max="3" width="12.33203125" style="1" customWidth="1"/>
    <col min="4" max="4" width="15.5" style="1" customWidth="1"/>
    <col min="5" max="5" width="14.6640625" style="1" customWidth="1"/>
    <col min="6" max="6" width="13" style="1" customWidth="1"/>
    <col min="7" max="7" width="10.1640625" style="1" customWidth="1"/>
    <col min="8" max="8" width="8.83203125" style="2" customWidth="1"/>
    <col min="9" max="9" width="8.83203125" style="1" customWidth="1"/>
    <col min="10" max="10" width="12" style="1" customWidth="1"/>
    <col min="11" max="11" width="9.5" style="1" customWidth="1"/>
    <col min="12" max="12" width="9.66406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7" t="s">
        <v>233</v>
      </c>
      <c r="H2" s="1"/>
    </row>
    <row r="3" spans="2:12" ht="19">
      <c r="B3" s="304" t="s">
        <v>115</v>
      </c>
      <c r="C3" s="83" t="s">
        <v>116</v>
      </c>
      <c r="D3" s="83" t="s">
        <v>117</v>
      </c>
      <c r="E3" s="2"/>
      <c r="G3" s="229"/>
      <c r="H3" s="1"/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 ht="19">
      <c r="B5" s="86"/>
      <c r="C5" s="71"/>
      <c r="D5" s="71"/>
      <c r="F5" s="177" t="s">
        <v>350</v>
      </c>
      <c r="H5" s="1"/>
      <c r="I5" s="10"/>
      <c r="J5" s="9"/>
      <c r="K5" s="1">
        <f>'Development plan Q4'!H12</f>
        <v>9500</v>
      </c>
      <c r="L5" s="65"/>
    </row>
    <row r="6" spans="2:12">
      <c r="B6" s="71" t="s">
        <v>259</v>
      </c>
      <c r="C6" s="83">
        <v>1</v>
      </c>
      <c r="D6" s="83">
        <f>MAN</f>
        <v>2000</v>
      </c>
      <c r="E6" s="2"/>
      <c r="F6" s="177" t="s">
        <v>269</v>
      </c>
      <c r="H6" s="1"/>
      <c r="I6" s="321">
        <v>0.35</v>
      </c>
      <c r="J6" s="9"/>
      <c r="K6" s="1">
        <f>I6*K5</f>
        <v>3325</v>
      </c>
      <c r="L6" s="61"/>
    </row>
    <row r="7" spans="2:12">
      <c r="B7" s="71"/>
      <c r="C7" s="83"/>
      <c r="D7" s="83"/>
      <c r="E7" s="2"/>
      <c r="F7" s="177" t="s">
        <v>270</v>
      </c>
      <c r="H7" s="1"/>
      <c r="I7" s="10"/>
      <c r="J7" s="9"/>
      <c r="K7" s="1">
        <f>K6+L30-H30</f>
        <v>7405</v>
      </c>
      <c r="L7" s="61"/>
    </row>
    <row r="8" spans="2:12">
      <c r="B8" s="71" t="s">
        <v>35</v>
      </c>
      <c r="C8" s="83">
        <f>'September-2'!C9+'Development plan Q4'!C41</f>
        <v>3</v>
      </c>
      <c r="D8" s="83">
        <f>ADOP</f>
        <v>1000</v>
      </c>
      <c r="E8" s="2"/>
      <c r="F8" s="5"/>
      <c r="H8" s="1"/>
      <c r="I8" s="10"/>
      <c r="J8" s="9"/>
      <c r="L8" s="61"/>
    </row>
    <row r="9" spans="2:12">
      <c r="B9" s="71"/>
      <c r="C9" s="83"/>
      <c r="D9" s="83"/>
      <c r="E9" s="2"/>
      <c r="F9" s="177" t="s">
        <v>266</v>
      </c>
      <c r="H9" s="1"/>
      <c r="I9" s="10"/>
      <c r="J9" s="9"/>
      <c r="K9" s="317">
        <f>K7*CMP</f>
        <v>118480</v>
      </c>
      <c r="L9" s="61"/>
    </row>
    <row r="10" spans="2:12">
      <c r="B10" s="71" t="s">
        <v>65</v>
      </c>
      <c r="C10" s="83">
        <f>'September-2'!C11+'Development plan Q4'!C42</f>
        <v>8</v>
      </c>
      <c r="D10" s="83">
        <f>MKT</f>
        <v>1300</v>
      </c>
      <c r="E10" s="2"/>
      <c r="F10" s="177" t="s">
        <v>235</v>
      </c>
      <c r="H10" s="1"/>
      <c r="I10" s="10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7" t="s">
        <v>236</v>
      </c>
      <c r="H11" s="1"/>
      <c r="I11" s="10"/>
      <c r="J11" s="9"/>
      <c r="K11" s="1">
        <f>C18*ADOP</f>
        <v>12000</v>
      </c>
      <c r="L11" s="61"/>
    </row>
    <row r="12" spans="2:12">
      <c r="B12" s="71" t="s">
        <v>260</v>
      </c>
      <c r="C12" s="83">
        <f>'September-2'!C13+'Development plan Q4'!C43</f>
        <v>3</v>
      </c>
      <c r="D12" s="83">
        <f>ING</f>
        <v>1500</v>
      </c>
      <c r="E12" s="2"/>
      <c r="F12" s="177" t="s">
        <v>348</v>
      </c>
      <c r="G12" s="2"/>
      <c r="H12" s="1"/>
      <c r="I12" s="10"/>
      <c r="J12" s="9"/>
      <c r="K12" s="1">
        <f>'September-2'!C105/'Development plan Q3'!E32</f>
        <v>500</v>
      </c>
      <c r="L12" s="10"/>
    </row>
    <row r="13" spans="2:12">
      <c r="B13" s="71"/>
      <c r="C13" s="71"/>
      <c r="D13" s="71"/>
      <c r="F13" s="177" t="s">
        <v>349</v>
      </c>
      <c r="H13" s="1"/>
      <c r="I13" s="10"/>
      <c r="J13" s="9"/>
      <c r="K13" s="11">
        <f>('Investment project Q2'!C18/'Investment project Q2'!G18)+('Development plan Q4'!C36/'Development plan Q4'!G36)</f>
        <v>6000</v>
      </c>
      <c r="L13" s="61"/>
    </row>
    <row r="14" spans="2:12">
      <c r="B14" s="71" t="s">
        <v>36</v>
      </c>
      <c r="C14" s="83">
        <f>'Development plan Q4'!G20</f>
        <v>5</v>
      </c>
      <c r="D14" s="83">
        <f>ING</f>
        <v>1500</v>
      </c>
      <c r="E14" s="2"/>
      <c r="F14" s="177"/>
      <c r="H14" s="1"/>
      <c r="I14" s="10"/>
      <c r="J14" s="9"/>
      <c r="L14" s="10"/>
    </row>
    <row r="15" spans="2:12">
      <c r="B15" s="71"/>
      <c r="C15" s="83"/>
      <c r="D15" s="83"/>
      <c r="E15" s="2"/>
      <c r="F15" s="9" t="s">
        <v>124</v>
      </c>
      <c r="H15" s="1"/>
      <c r="I15" s="10"/>
      <c r="J15" s="9"/>
      <c r="K15" s="329">
        <f>SUM(K9:K13)</f>
        <v>138480</v>
      </c>
      <c r="L15" s="10"/>
    </row>
    <row r="16" spans="2:12">
      <c r="B16" s="71" t="s">
        <v>25</v>
      </c>
      <c r="C16" s="83"/>
      <c r="D16" s="83"/>
      <c r="E16" s="2"/>
      <c r="F16" s="5"/>
      <c r="H16" s="1"/>
      <c r="I16" s="10"/>
      <c r="J16" s="9"/>
      <c r="L16" s="10"/>
    </row>
    <row r="17" spans="2:13">
      <c r="B17" s="71" t="s">
        <v>261</v>
      </c>
      <c r="C17" s="83">
        <v>1</v>
      </c>
      <c r="D17" s="83">
        <f>ING</f>
        <v>1500</v>
      </c>
      <c r="E17" s="2"/>
      <c r="F17" s="192" t="s">
        <v>237</v>
      </c>
      <c r="H17" s="1"/>
      <c r="I17" s="10"/>
      <c r="J17" s="9"/>
      <c r="K17" s="318">
        <f>K15/K7</f>
        <v>18.700877785280216</v>
      </c>
      <c r="L17" s="19" t="s">
        <v>378</v>
      </c>
    </row>
    <row r="18" spans="2:13">
      <c r="B18" s="71" t="s">
        <v>262</v>
      </c>
      <c r="C18" s="83">
        <f>'Development plan Q4'!C38</f>
        <v>12</v>
      </c>
      <c r="D18" s="83">
        <f>ADOP</f>
        <v>1000</v>
      </c>
      <c r="E18" s="2"/>
      <c r="F18" s="13"/>
      <c r="G18" s="11"/>
      <c r="H18" s="25"/>
      <c r="I18" s="8"/>
      <c r="J18" s="7"/>
      <c r="K18" s="11"/>
      <c r="L18" s="8"/>
    </row>
    <row r="19" spans="2:13">
      <c r="B19" s="72"/>
      <c r="C19" s="72"/>
      <c r="D19" s="72"/>
    </row>
    <row r="20" spans="2:13" ht="19">
      <c r="B20" s="229"/>
      <c r="C20" s="230"/>
      <c r="D20" s="230"/>
      <c r="E20" s="230"/>
      <c r="F20" s="230"/>
    </row>
    <row r="22" spans="2:13" ht="21">
      <c r="B22" s="231" t="s">
        <v>64</v>
      </c>
      <c r="H22" s="1"/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C24" s="1">
        <f>F24*H24+J24*L24</f>
        <v>180000</v>
      </c>
      <c r="F24" s="9">
        <f>'Development plan Q4'!G9</f>
        <v>3500</v>
      </c>
      <c r="G24" s="2" t="s">
        <v>70</v>
      </c>
      <c r="H24" s="1">
        <f>PVB2C</f>
        <v>30</v>
      </c>
      <c r="I24" s="349" t="s">
        <v>71</v>
      </c>
      <c r="J24" s="9">
        <f>'Development plan Q4'!G10</f>
        <v>3000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H25" s="1"/>
      <c r="I25" s="349"/>
      <c r="J25" s="9"/>
      <c r="K25" s="2"/>
      <c r="M25" s="349"/>
    </row>
    <row r="26" spans="2:13">
      <c r="B26" s="1" t="s">
        <v>66</v>
      </c>
      <c r="C26" s="33">
        <f>-L35</f>
        <v>-119133.58136394329</v>
      </c>
      <c r="F26" s="7">
        <f>F24</f>
        <v>3500</v>
      </c>
      <c r="G26" s="25" t="s">
        <v>70</v>
      </c>
      <c r="H26" s="337">
        <f>K35</f>
        <v>18.328243286760507</v>
      </c>
      <c r="I26" s="350" t="s">
        <v>71</v>
      </c>
      <c r="J26" s="7">
        <f>J24</f>
        <v>3000</v>
      </c>
      <c r="K26" s="25" t="s">
        <v>70</v>
      </c>
      <c r="L26" s="337">
        <f>K35</f>
        <v>18.328243286760507</v>
      </c>
      <c r="M26" s="350" t="s">
        <v>71</v>
      </c>
    </row>
    <row r="27" spans="2:13">
      <c r="H27" s="1"/>
    </row>
    <row r="28" spans="2:13">
      <c r="B28" s="1" t="s">
        <v>67</v>
      </c>
      <c r="C28" s="1">
        <f>C24+C26</f>
        <v>60866.418636056711</v>
      </c>
      <c r="H28" s="1"/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C30" s="1">
        <f>-(C6*MAN+C8*ADOP)</f>
        <v>-5000</v>
      </c>
      <c r="F30" s="5" t="s">
        <v>94</v>
      </c>
      <c r="H30" s="1">
        <f>'September-2'!L32</f>
        <v>2420</v>
      </c>
      <c r="J30" s="1" t="s">
        <v>65</v>
      </c>
      <c r="L30" s="10">
        <f>F24+J24</f>
        <v>6500</v>
      </c>
    </row>
    <row r="31" spans="2:13">
      <c r="B31" s="1" t="s">
        <v>100</v>
      </c>
      <c r="C31" s="1">
        <f>-C10*MKT</f>
        <v>-10400</v>
      </c>
      <c r="F31" s="13" t="s">
        <v>25</v>
      </c>
      <c r="G31" s="11"/>
      <c r="H31" s="11">
        <f>L30+L31-H30</f>
        <v>7405</v>
      </c>
      <c r="I31" s="11"/>
      <c r="J31" s="11" t="s">
        <v>90</v>
      </c>
      <c r="K31" s="11"/>
      <c r="L31" s="8">
        <f>K6</f>
        <v>3325</v>
      </c>
    </row>
    <row r="32" spans="2:13">
      <c r="B32" s="31" t="s">
        <v>310</v>
      </c>
      <c r="C32" s="1">
        <f>-C12*ING+'August-2'!C63/'August-2'!C118</f>
        <v>-7500</v>
      </c>
      <c r="F32" s="14" t="s">
        <v>6</v>
      </c>
      <c r="G32" s="15"/>
      <c r="H32" s="15">
        <f>H30+H31</f>
        <v>9825</v>
      </c>
      <c r="I32" s="15"/>
      <c r="J32" s="16" t="s">
        <v>6</v>
      </c>
      <c r="K32" s="15"/>
      <c r="L32" s="17">
        <f>L30+L31</f>
        <v>9825</v>
      </c>
    </row>
    <row r="33" spans="2:12">
      <c r="B33" s="31" t="s">
        <v>355</v>
      </c>
      <c r="C33" s="11">
        <f>-'Development plan Q4'!C45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113</v>
      </c>
      <c r="J34" s="15"/>
      <c r="K34" s="15"/>
      <c r="L34" s="17"/>
    </row>
    <row r="35" spans="2:12">
      <c r="B35" s="1" t="s">
        <v>250</v>
      </c>
      <c r="C35" s="1">
        <f>C28+C31+C30+C32+C33</f>
        <v>31966.418636056711</v>
      </c>
      <c r="F35" s="5" t="s">
        <v>94</v>
      </c>
      <c r="H35" s="1">
        <f>'September-2'!L37</f>
        <v>42834</v>
      </c>
      <c r="I35" s="344">
        <f>J41</f>
        <v>17.7</v>
      </c>
      <c r="J35" s="1" t="s">
        <v>120</v>
      </c>
      <c r="K35" s="346">
        <f>L44</f>
        <v>18.328243286760507</v>
      </c>
      <c r="L35" s="32">
        <f>H35+H36-L36</f>
        <v>119133.58136394329</v>
      </c>
    </row>
    <row r="36" spans="2:12">
      <c r="F36" s="129" t="s">
        <v>119</v>
      </c>
      <c r="G36" s="11"/>
      <c r="H36" s="328">
        <f>K15</f>
        <v>138480</v>
      </c>
      <c r="I36" s="345">
        <f>K17</f>
        <v>18.700877785280216</v>
      </c>
      <c r="J36" s="11" t="s">
        <v>90</v>
      </c>
      <c r="K36" s="345">
        <f>K17</f>
        <v>18.700877785280216</v>
      </c>
      <c r="L36" s="8">
        <f>L31*K17</f>
        <v>62180.418636056718</v>
      </c>
    </row>
    <row r="37" spans="2:12">
      <c r="B37" s="1" t="s">
        <v>238</v>
      </c>
      <c r="C37" s="1">
        <f>-'Investment project Q2'!C82-'Development plan Q4'!C54*'Development plan Q4'!C56/12</f>
        <v>-1240</v>
      </c>
      <c r="F37" s="14" t="s">
        <v>6</v>
      </c>
      <c r="G37" s="15"/>
      <c r="H37" s="15">
        <f>H35+H36</f>
        <v>181314</v>
      </c>
      <c r="I37" s="15"/>
      <c r="J37" s="16" t="s">
        <v>6</v>
      </c>
      <c r="K37" s="15"/>
      <c r="L37" s="17">
        <f>L35+L36</f>
        <v>181314</v>
      </c>
    </row>
    <row r="38" spans="2:12">
      <c r="H38" s="1"/>
    </row>
    <row r="39" spans="2:12">
      <c r="B39" s="1" t="s">
        <v>239</v>
      </c>
      <c r="C39" s="1">
        <f>C35+C37</f>
        <v>30726.418636056711</v>
      </c>
      <c r="F39" s="29"/>
      <c r="G39" s="15"/>
      <c r="H39" s="15"/>
      <c r="I39" s="24" t="s">
        <v>114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240</v>
      </c>
      <c r="C41" s="11">
        <f>-C39*C84</f>
        <v>-6145.2837272113429</v>
      </c>
      <c r="F41" s="177" t="s">
        <v>121</v>
      </c>
      <c r="H41" s="2">
        <f>H30</f>
        <v>2420</v>
      </c>
      <c r="I41" s="1" t="s">
        <v>46</v>
      </c>
      <c r="J41" s="338">
        <f>'September-2'!L18</f>
        <v>17.7</v>
      </c>
      <c r="K41" s="2" t="s">
        <v>23</v>
      </c>
      <c r="L41" s="6">
        <f>H41*J41</f>
        <v>42834</v>
      </c>
    </row>
    <row r="42" spans="2:12" ht="17" thickBot="1">
      <c r="F42" s="177" t="s">
        <v>122</v>
      </c>
      <c r="H42" s="342">
        <f>L30-H30</f>
        <v>4080</v>
      </c>
      <c r="I42" s="1" t="s">
        <v>46</v>
      </c>
      <c r="J42" s="341">
        <f>K17</f>
        <v>18.700877785280216</v>
      </c>
      <c r="K42" s="2" t="s">
        <v>23</v>
      </c>
      <c r="L42" s="6">
        <f>H42*J42</f>
        <v>76299.581363943289</v>
      </c>
    </row>
    <row r="43" spans="2:12">
      <c r="B43" s="1" t="s">
        <v>241</v>
      </c>
      <c r="C43" s="1">
        <f>C39+C41</f>
        <v>24581.134908845368</v>
      </c>
      <c r="F43" s="5" t="s">
        <v>123</v>
      </c>
      <c r="H43" s="2">
        <f>H41+H42</f>
        <v>6500</v>
      </c>
      <c r="J43" s="36" t="s">
        <v>124</v>
      </c>
      <c r="K43" s="2" t="s">
        <v>23</v>
      </c>
      <c r="L43" s="340">
        <f>L41+L42</f>
        <v>119133.58136394329</v>
      </c>
    </row>
    <row r="44" spans="2:12">
      <c r="D44" s="1" t="s">
        <v>1</v>
      </c>
      <c r="F44" s="13"/>
      <c r="G44" s="11"/>
      <c r="H44" s="11"/>
      <c r="I44" s="11"/>
      <c r="J44" s="112" t="s">
        <v>117</v>
      </c>
      <c r="K44" s="25" t="s">
        <v>23</v>
      </c>
      <c r="L44" s="365">
        <f>L43/L30</f>
        <v>18.328243286760507</v>
      </c>
    </row>
    <row r="45" spans="2:12">
      <c r="H45" s="1"/>
    </row>
    <row r="46" spans="2:12" ht="19">
      <c r="B46" s="12" t="s">
        <v>72</v>
      </c>
      <c r="H46" s="1"/>
    </row>
    <row r="47" spans="2:12">
      <c r="F47" s="14"/>
      <c r="G47" s="15"/>
      <c r="H47" s="15"/>
      <c r="I47" s="24" t="s">
        <v>89</v>
      </c>
      <c r="J47" s="15"/>
      <c r="K47" s="15"/>
      <c r="L47" s="17"/>
    </row>
    <row r="48" spans="2:12">
      <c r="B48" s="1" t="s">
        <v>73</v>
      </c>
      <c r="C48" s="20">
        <f>L48</f>
        <v>162500</v>
      </c>
      <c r="F48" s="5" t="s">
        <v>94</v>
      </c>
      <c r="H48" s="1">
        <f>'September-2'!L49</f>
        <v>57500</v>
      </c>
      <c r="J48" s="1" t="s">
        <v>95</v>
      </c>
      <c r="L48" s="21">
        <f>H48+H49-L49</f>
        <v>162500</v>
      </c>
    </row>
    <row r="49" spans="2:12">
      <c r="B49" s="1" t="s">
        <v>340</v>
      </c>
      <c r="C49" s="1">
        <f>'Development plan Q4'!C62</f>
        <v>100000</v>
      </c>
      <c r="F49" s="13" t="s">
        <v>65</v>
      </c>
      <c r="G49" s="11"/>
      <c r="H49" s="11">
        <f>C24</f>
        <v>180000</v>
      </c>
      <c r="I49" s="11"/>
      <c r="J49" s="11" t="s">
        <v>90</v>
      </c>
      <c r="K49" s="11"/>
      <c r="L49" s="8">
        <f>J24*L24</f>
        <v>75000</v>
      </c>
    </row>
    <row r="50" spans="2:12">
      <c r="B50" s="1" t="s">
        <v>242</v>
      </c>
      <c r="C50" s="1">
        <f>'Development plan Q4'!C54</f>
        <v>200000</v>
      </c>
      <c r="F50" s="14" t="s">
        <v>6</v>
      </c>
      <c r="G50" s="15"/>
      <c r="H50" s="15">
        <f>H48+H49</f>
        <v>237500</v>
      </c>
      <c r="I50" s="15"/>
      <c r="J50" s="16" t="s">
        <v>6</v>
      </c>
      <c r="K50" s="15"/>
      <c r="L50" s="17">
        <f>L48+L49</f>
        <v>237500</v>
      </c>
    </row>
    <row r="51" spans="2:12">
      <c r="H51" s="1"/>
    </row>
    <row r="52" spans="2:12">
      <c r="B52" s="26" t="s">
        <v>281</v>
      </c>
      <c r="C52" s="26">
        <f>C48+C50+C49</f>
        <v>462500</v>
      </c>
      <c r="H52" s="1"/>
    </row>
    <row r="53" spans="2:12">
      <c r="H53" s="1"/>
    </row>
    <row r="54" spans="2:12">
      <c r="B54" s="1" t="s">
        <v>74</v>
      </c>
      <c r="F54" s="14"/>
      <c r="G54" s="15"/>
      <c r="H54" s="15"/>
      <c r="I54" s="24" t="s">
        <v>86</v>
      </c>
      <c r="J54" s="15"/>
      <c r="K54" s="15"/>
      <c r="L54" s="17"/>
    </row>
    <row r="55" spans="2:12">
      <c r="F55" s="5" t="s">
        <v>94</v>
      </c>
      <c r="H55" s="1">
        <f>'September-2'!L56</f>
        <v>40000</v>
      </c>
      <c r="J55" s="1" t="s">
        <v>96</v>
      </c>
      <c r="L55" s="23">
        <f>H55+H56-L56</f>
        <v>99240</v>
      </c>
    </row>
    <row r="56" spans="2:12">
      <c r="B56" s="1" t="s">
        <v>98</v>
      </c>
      <c r="C56" s="22">
        <f>-L55</f>
        <v>-99240</v>
      </c>
      <c r="F56" s="13" t="s">
        <v>97</v>
      </c>
      <c r="G56" s="11"/>
      <c r="H56" s="34">
        <f>K9</f>
        <v>118480</v>
      </c>
      <c r="I56" s="11"/>
      <c r="J56" s="11" t="s">
        <v>90</v>
      </c>
      <c r="K56" s="11"/>
      <c r="L56" s="8">
        <f>K59*H56</f>
        <v>59240</v>
      </c>
    </row>
    <row r="57" spans="2:12">
      <c r="B57" s="1" t="s">
        <v>11</v>
      </c>
      <c r="C57" s="1">
        <f>C30</f>
        <v>-5000</v>
      </c>
      <c r="F57" s="14" t="s">
        <v>6</v>
      </c>
      <c r="G57" s="15"/>
      <c r="H57" s="15">
        <f>H55+H56</f>
        <v>158480</v>
      </c>
      <c r="I57" s="15"/>
      <c r="J57" s="16" t="s">
        <v>6</v>
      </c>
      <c r="K57" s="15"/>
      <c r="L57" s="17">
        <f>L55+L56</f>
        <v>158480</v>
      </c>
    </row>
    <row r="58" spans="2:12">
      <c r="B58" s="1" t="s">
        <v>125</v>
      </c>
      <c r="C58" s="1">
        <f>C31</f>
        <v>-10400</v>
      </c>
      <c r="H58" s="1"/>
    </row>
    <row r="59" spans="2:12">
      <c r="B59" s="1" t="s">
        <v>351</v>
      </c>
      <c r="C59" s="1">
        <f>C33</f>
        <v>-6000</v>
      </c>
      <c r="F59" s="2"/>
      <c r="H59" s="1"/>
      <c r="J59" s="29" t="s">
        <v>92</v>
      </c>
      <c r="K59" s="40">
        <v>0.5</v>
      </c>
      <c r="L59" s="17" t="s">
        <v>93</v>
      </c>
    </row>
    <row r="60" spans="2:12">
      <c r="B60" s="1" t="s">
        <v>282</v>
      </c>
      <c r="C60" s="1">
        <f>-'Development plan Q4'!G27</f>
        <v>-7500</v>
      </c>
      <c r="H60" s="1"/>
    </row>
    <row r="61" spans="2:12">
      <c r="B61" s="1" t="s">
        <v>311</v>
      </c>
      <c r="C61" s="1">
        <f>-C12*ING</f>
        <v>-4500</v>
      </c>
      <c r="H61" s="1"/>
    </row>
    <row r="62" spans="2:12">
      <c r="B62" s="1" t="s">
        <v>243</v>
      </c>
      <c r="C62" s="1">
        <f>-K10</f>
        <v>-1500</v>
      </c>
      <c r="H62" s="1"/>
    </row>
    <row r="63" spans="2:12">
      <c r="B63" s="1" t="s">
        <v>252</v>
      </c>
      <c r="C63" s="1">
        <f>-K11</f>
        <v>-12000</v>
      </c>
      <c r="H63" s="1"/>
    </row>
    <row r="64" spans="2:12">
      <c r="B64" s="1" t="s">
        <v>158</v>
      </c>
      <c r="C64" s="1">
        <v>0</v>
      </c>
      <c r="H64" s="1"/>
    </row>
    <row r="65" spans="2:8">
      <c r="B65" s="1" t="s">
        <v>159</v>
      </c>
      <c r="C65" s="1">
        <v>0</v>
      </c>
      <c r="H65" s="1"/>
    </row>
    <row r="66" spans="2:8">
      <c r="B66" s="1" t="s">
        <v>352</v>
      </c>
      <c r="C66" s="1">
        <f>-'Development plan Q4'!C36</f>
        <v>-300000</v>
      </c>
      <c r="H66" s="1"/>
    </row>
    <row r="67" spans="2:8">
      <c r="B67" s="1" t="s">
        <v>245</v>
      </c>
      <c r="C67" s="1">
        <f>C37</f>
        <v>-1240</v>
      </c>
      <c r="H67" s="1"/>
    </row>
    <row r="68" spans="2:8">
      <c r="H68" s="1"/>
    </row>
    <row r="69" spans="2:8">
      <c r="B69" s="26" t="s">
        <v>76</v>
      </c>
      <c r="C69" s="26">
        <f>SUM(C56:C67)</f>
        <v>-447380</v>
      </c>
    </row>
    <row r="71" spans="2:8">
      <c r="B71" s="26" t="s">
        <v>281</v>
      </c>
      <c r="C71" s="26">
        <f>C52</f>
        <v>462500</v>
      </c>
    </row>
    <row r="72" spans="2:8">
      <c r="C72" s="26"/>
    </row>
    <row r="73" spans="2:8">
      <c r="B73" s="26" t="s">
        <v>76</v>
      </c>
      <c r="C73" s="26">
        <f>C69</f>
        <v>-447380</v>
      </c>
    </row>
    <row r="75" spans="2:8">
      <c r="B75" s="294" t="s">
        <v>77</v>
      </c>
      <c r="C75" s="294">
        <f>C52+C69</f>
        <v>15120</v>
      </c>
    </row>
    <row r="76" spans="2:8">
      <c r="H76" s="1"/>
    </row>
    <row r="77" spans="2:8">
      <c r="B77" s="1" t="s">
        <v>78</v>
      </c>
      <c r="C77" s="1">
        <f>'September-2'!C115</f>
        <v>22860</v>
      </c>
      <c r="H77" s="1"/>
    </row>
    <row r="78" spans="2:8">
      <c r="H78" s="1"/>
    </row>
    <row r="79" spans="2:8">
      <c r="B79" s="26" t="s">
        <v>79</v>
      </c>
      <c r="C79" s="232">
        <f>C75+C77</f>
        <v>37980</v>
      </c>
      <c r="H79" s="1"/>
    </row>
    <row r="80" spans="2:8">
      <c r="H80" s="1"/>
    </row>
    <row r="81" spans="2:14">
      <c r="H81" s="1"/>
    </row>
    <row r="82" spans="2:14" ht="21">
      <c r="B82" s="12" t="s">
        <v>139</v>
      </c>
      <c r="C82" s="229"/>
      <c r="D82" s="12" t="s">
        <v>129</v>
      </c>
      <c r="E82" s="307"/>
      <c r="F82" s="148"/>
      <c r="H82" s="1"/>
    </row>
    <row r="83" spans="2:14" ht="19">
      <c r="D83" s="12"/>
      <c r="E83" s="12"/>
      <c r="F83" s="12"/>
    </row>
    <row r="84" spans="2:14">
      <c r="B84" s="31" t="s">
        <v>165</v>
      </c>
      <c r="C84" s="128">
        <f>TIS</f>
        <v>0.2</v>
      </c>
      <c r="D84" s="1" t="s">
        <v>130</v>
      </c>
      <c r="E84" s="305"/>
      <c r="F84" s="2">
        <f>C90</f>
        <v>24581.134908845368</v>
      </c>
    </row>
    <row r="85" spans="2:14">
      <c r="C85" s="2"/>
      <c r="E85" s="305"/>
      <c r="F85" s="36"/>
    </row>
    <row r="86" spans="2:14">
      <c r="B86" s="1" t="s">
        <v>166</v>
      </c>
      <c r="C86" s="2">
        <f>C39</f>
        <v>30726.418636056711</v>
      </c>
      <c r="D86" s="1" t="s">
        <v>167</v>
      </c>
      <c r="E86" s="31"/>
      <c r="F86" s="128">
        <v>0</v>
      </c>
      <c r="H86" s="1"/>
    </row>
    <row r="87" spans="2:14">
      <c r="C87" s="2"/>
      <c r="F87" s="2"/>
      <c r="H87" s="1"/>
    </row>
    <row r="88" spans="2:14">
      <c r="B88" s="1" t="s">
        <v>141</v>
      </c>
      <c r="C88" s="2">
        <f>-C86*C84</f>
        <v>-6145.2837272113429</v>
      </c>
      <c r="D88" s="1" t="s">
        <v>131</v>
      </c>
      <c r="F88" s="302">
        <f>C90*F86</f>
        <v>0</v>
      </c>
      <c r="H88" s="1"/>
    </row>
    <row r="89" spans="2:14">
      <c r="C89" s="2"/>
      <c r="F89" s="2"/>
      <c r="H89" s="1"/>
    </row>
    <row r="90" spans="2:14">
      <c r="B90" s="1" t="s">
        <v>167</v>
      </c>
      <c r="C90" s="2">
        <f>C86+C88</f>
        <v>24581.134908845368</v>
      </c>
      <c r="D90" s="1" t="s">
        <v>185</v>
      </c>
      <c r="F90" s="303">
        <f>C90-F88</f>
        <v>24581.134908845368</v>
      </c>
      <c r="H90" s="1"/>
    </row>
    <row r="91" spans="2:14">
      <c r="H91" s="1"/>
    </row>
    <row r="92" spans="2:14" s="2" customFormat="1">
      <c r="B92" s="1"/>
      <c r="C92" s="1"/>
      <c r="D92" s="1"/>
      <c r="E92" s="1"/>
      <c r="F92" s="1" t="s">
        <v>1</v>
      </c>
      <c r="G92" s="1"/>
      <c r="I92" s="1"/>
      <c r="J92" s="1"/>
      <c r="K92" s="1"/>
      <c r="L92" s="1"/>
      <c r="M92" s="1"/>
      <c r="N92" s="1"/>
    </row>
    <row r="93" spans="2:14" s="2" customFormat="1" ht="21">
      <c r="B93" s="231" t="s">
        <v>80</v>
      </c>
      <c r="C93" s="1"/>
      <c r="D93" s="12"/>
      <c r="E93" s="12"/>
      <c r="F93" s="12"/>
      <c r="G93" s="1"/>
      <c r="I93" s="1"/>
      <c r="J93" s="1"/>
      <c r="K93" s="1"/>
      <c r="L93" s="1"/>
      <c r="M93" s="1"/>
      <c r="N93" s="1"/>
    </row>
    <row r="94" spans="2:14" s="2" customFormat="1"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</row>
    <row r="95" spans="2:14" s="2" customFormat="1" ht="11" customHeight="1">
      <c r="B95" s="3"/>
      <c r="C95" s="4"/>
      <c r="D95" s="3"/>
      <c r="E95" s="48"/>
      <c r="F95" s="48"/>
      <c r="G95" s="4"/>
      <c r="I95" s="1"/>
      <c r="J95" s="1"/>
      <c r="K95" s="1"/>
      <c r="L95" s="1"/>
      <c r="M95" s="1"/>
      <c r="N95" s="1"/>
    </row>
    <row r="96" spans="2:14" s="2" customFormat="1" ht="19">
      <c r="B96" s="227" t="s">
        <v>60</v>
      </c>
      <c r="C96" s="228"/>
      <c r="D96" s="227"/>
      <c r="E96" s="226" t="s">
        <v>84</v>
      </c>
      <c r="F96" s="226"/>
      <c r="G96" s="6"/>
      <c r="I96" s="1"/>
      <c r="J96" s="1"/>
      <c r="K96" s="1"/>
      <c r="L96" s="1"/>
      <c r="M96" s="1"/>
      <c r="N96" s="1"/>
    </row>
    <row r="97" spans="2:14" s="2" customFormat="1" ht="11" customHeight="1">
      <c r="B97" s="7"/>
      <c r="C97" s="8"/>
      <c r="D97" s="7"/>
      <c r="E97" s="11"/>
      <c r="F97" s="11"/>
      <c r="G97" s="8"/>
      <c r="H97" s="30"/>
      <c r="I97" s="1"/>
      <c r="K97" s="31"/>
      <c r="L97" s="1"/>
      <c r="M97" s="1"/>
      <c r="N97" s="1"/>
    </row>
    <row r="98" spans="2:14" s="2" customFormat="1">
      <c r="B98" s="3"/>
      <c r="C98" s="4"/>
      <c r="D98" s="3"/>
      <c r="E98" s="48"/>
      <c r="F98" s="48"/>
      <c r="G98" s="4"/>
      <c r="L98" s="1"/>
      <c r="M98" s="1"/>
      <c r="N98" s="1"/>
    </row>
    <row r="99" spans="2:14" s="2" customFormat="1">
      <c r="B99" s="9" t="s">
        <v>248</v>
      </c>
      <c r="C99" s="122">
        <f>'Investment project Q2'!C18+'Development plan Q4'!C36</f>
        <v>360000</v>
      </c>
      <c r="D99" s="9" t="s">
        <v>62</v>
      </c>
      <c r="E99" s="1"/>
      <c r="F99" s="1"/>
      <c r="G99" s="10">
        <f>NA*PAR+'Development plan Q4'!F67</f>
        <v>11000</v>
      </c>
      <c r="H99" s="115"/>
      <c r="I99" s="116" t="s">
        <v>90</v>
      </c>
      <c r="J99" s="116"/>
      <c r="K99" s="117"/>
      <c r="L99" s="1"/>
      <c r="M99" s="1"/>
      <c r="N99" s="1"/>
    </row>
    <row r="100" spans="2:14" s="2" customFormat="1">
      <c r="B100" s="9" t="s">
        <v>271</v>
      </c>
      <c r="C100" s="123">
        <f>-K13+'September-2'!C101</f>
        <v>-12000</v>
      </c>
      <c r="D100" s="31" t="s">
        <v>347</v>
      </c>
      <c r="E100" s="31"/>
      <c r="G100" s="36">
        <f>'Development plan Q4'!F69</f>
        <v>99000</v>
      </c>
      <c r="H100" s="5"/>
      <c r="I100" s="31" t="s">
        <v>147</v>
      </c>
      <c r="K100" s="6" t="s">
        <v>148</v>
      </c>
      <c r="L100" s="1"/>
      <c r="M100" s="1"/>
      <c r="N100" s="1"/>
    </row>
    <row r="101" spans="2:14" s="2" customFormat="1">
      <c r="B101" s="9" t="s">
        <v>247</v>
      </c>
      <c r="C101" s="122">
        <f>C99+C100</f>
        <v>348000</v>
      </c>
      <c r="D101" s="9" t="s">
        <v>85</v>
      </c>
      <c r="E101" s="1"/>
      <c r="F101" s="1"/>
      <c r="G101" s="43">
        <f>I101+K101</f>
        <v>116080.33490884537</v>
      </c>
      <c r="H101" s="13" t="s">
        <v>23</v>
      </c>
      <c r="I101" s="11">
        <f>'September-2'!E101</f>
        <v>91499.199999999997</v>
      </c>
      <c r="J101" s="11"/>
      <c r="K101" s="118">
        <f>F90</f>
        <v>24581.134908845368</v>
      </c>
      <c r="L101" s="1"/>
      <c r="M101" s="1"/>
      <c r="N101" s="1"/>
    </row>
    <row r="102" spans="2:14" s="2" customFormat="1">
      <c r="B102" s="9"/>
      <c r="C102" s="122"/>
      <c r="D102" s="9" t="s">
        <v>82</v>
      </c>
      <c r="E102" s="1"/>
      <c r="F102" s="1"/>
      <c r="G102" s="10">
        <f>G99+G101+G100</f>
        <v>226080.33490884537</v>
      </c>
      <c r="I102" s="1"/>
      <c r="J102" s="1"/>
      <c r="K102" s="1"/>
      <c r="L102" s="1"/>
      <c r="M102" s="1"/>
      <c r="N102" s="1"/>
    </row>
    <row r="103" spans="2:14" s="2" customFormat="1">
      <c r="B103" s="177" t="s">
        <v>285</v>
      </c>
      <c r="C103" s="122">
        <f>-C60+'September-2'!C105-K12</f>
        <v>25000</v>
      </c>
      <c r="D103" s="9"/>
      <c r="E103" s="1"/>
      <c r="F103" s="1"/>
      <c r="G103" s="10"/>
      <c r="I103" s="1"/>
      <c r="J103" s="1"/>
      <c r="K103" s="1"/>
      <c r="L103" s="1"/>
      <c r="M103" s="1"/>
      <c r="N103" s="1"/>
    </row>
    <row r="104" spans="2:14" s="2" customFormat="1">
      <c r="B104" s="5"/>
      <c r="C104" s="6"/>
      <c r="D104" s="9" t="s">
        <v>229</v>
      </c>
      <c r="E104" s="1"/>
      <c r="F104" s="1"/>
      <c r="G104" s="10">
        <f>'September-2'!E106+'October-2'!C50</f>
        <v>248000</v>
      </c>
      <c r="I104" s="1"/>
      <c r="J104" s="1"/>
      <c r="K104" s="1"/>
      <c r="L104" s="1"/>
      <c r="M104" s="1"/>
      <c r="N104" s="1"/>
    </row>
    <row r="105" spans="2:14" s="2" customFormat="1">
      <c r="B105" s="192" t="s">
        <v>288</v>
      </c>
      <c r="C105" s="233">
        <f>C101+C103</f>
        <v>373000</v>
      </c>
      <c r="D105" s="9"/>
      <c r="E105" s="1"/>
      <c r="F105" s="1"/>
      <c r="G105" s="10"/>
      <c r="I105" s="1"/>
      <c r="J105" s="1"/>
      <c r="K105" s="1"/>
      <c r="L105" s="1"/>
      <c r="M105" s="1"/>
      <c r="N105" s="1"/>
    </row>
    <row r="106" spans="2:14" s="2" customFormat="1">
      <c r="B106" s="9"/>
      <c r="C106" s="122"/>
      <c r="D106" s="9"/>
      <c r="E106" s="1"/>
      <c r="F106" s="1"/>
      <c r="G106" s="10"/>
      <c r="I106" s="1"/>
      <c r="J106" s="1"/>
      <c r="K106" s="1"/>
      <c r="L106" s="1"/>
      <c r="M106" s="1"/>
      <c r="N106" s="1"/>
    </row>
    <row r="107" spans="2:14" s="2" customFormat="1">
      <c r="B107" s="9" t="s">
        <v>127</v>
      </c>
      <c r="C107" s="10">
        <f>L36</f>
        <v>62180.418636056718</v>
      </c>
      <c r="D107" s="9" t="s">
        <v>135</v>
      </c>
      <c r="E107" s="1"/>
      <c r="F107" s="1"/>
      <c r="G107" s="41">
        <f>'September-2'!E109+'October-2'!C65+F88</f>
        <v>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128</v>
      </c>
      <c r="C108" s="10">
        <f>L49</f>
        <v>75000</v>
      </c>
      <c r="D108" s="9" t="s">
        <v>86</v>
      </c>
      <c r="E108" s="1"/>
      <c r="F108" s="1"/>
      <c r="G108" s="10">
        <f>L56</f>
        <v>59240</v>
      </c>
      <c r="I108" s="1"/>
      <c r="J108" s="1"/>
      <c r="K108" s="1"/>
      <c r="L108" s="1"/>
      <c r="M108" s="1"/>
      <c r="N108" s="1"/>
    </row>
    <row r="109" spans="2:14" s="2" customFormat="1">
      <c r="B109" s="9" t="s">
        <v>357</v>
      </c>
      <c r="C109" s="8">
        <f>'September-2'!C111+'August-2'!C63/'August-2'!C118</f>
        <v>12000</v>
      </c>
      <c r="D109" s="9" t="s">
        <v>145</v>
      </c>
      <c r="E109" s="1"/>
      <c r="F109" s="1"/>
      <c r="G109" s="8">
        <f>'September-2'!E111+'October-2'!C64-'October-2'!C88</f>
        <v>26840.083727211342</v>
      </c>
      <c r="I109" s="1"/>
      <c r="J109" s="1"/>
      <c r="K109" s="1"/>
      <c r="L109" s="1"/>
      <c r="M109" s="1"/>
      <c r="N109" s="1"/>
    </row>
    <row r="110" spans="2:14" s="2" customFormat="1">
      <c r="B110" s="9"/>
      <c r="C110" s="10"/>
      <c r="D110" s="1"/>
      <c r="E110" s="1"/>
      <c r="F110" s="1"/>
      <c r="G110" s="10"/>
      <c r="I110" s="1"/>
      <c r="J110" s="1"/>
      <c r="K110" s="1"/>
      <c r="L110" s="1"/>
      <c r="M110" s="1"/>
      <c r="N110" s="1"/>
    </row>
    <row r="111" spans="2:14" s="2" customFormat="1">
      <c r="B111" s="18" t="s">
        <v>290</v>
      </c>
      <c r="C111" s="19">
        <f>SUM(C107:C109)</f>
        <v>149180.41863605671</v>
      </c>
      <c r="D111" s="26" t="s">
        <v>293</v>
      </c>
      <c r="E111" s="26"/>
      <c r="F111" s="26"/>
      <c r="G111" s="19">
        <f>SUM(G107:G109)</f>
        <v>86080.083727211342</v>
      </c>
      <c r="I111" s="1"/>
      <c r="J111" s="1"/>
      <c r="K111" s="1"/>
      <c r="L111" s="1"/>
      <c r="M111" s="1"/>
      <c r="N111" s="1"/>
    </row>
    <row r="112" spans="2:14" s="2" customFormat="1">
      <c r="B112" s="9"/>
      <c r="C112" s="10"/>
      <c r="D112" s="1"/>
      <c r="E112" s="1"/>
      <c r="F112" s="1"/>
      <c r="G112" s="10"/>
      <c r="I112" s="1"/>
      <c r="J112" s="1"/>
      <c r="K112" s="1"/>
      <c r="L112" s="1"/>
      <c r="M112" s="1"/>
      <c r="N112" s="1"/>
    </row>
    <row r="113" spans="2:14" s="2" customFormat="1">
      <c r="B113" s="18" t="s">
        <v>63</v>
      </c>
      <c r="C113" s="28">
        <f>'October-2'!C79</f>
        <v>37980</v>
      </c>
      <c r="G113" s="6"/>
      <c r="I113" s="1"/>
      <c r="J113" s="1"/>
      <c r="K113" s="1"/>
      <c r="L113" s="1"/>
      <c r="M113" s="1"/>
      <c r="N113" s="1"/>
    </row>
    <row r="114" spans="2:14" s="2" customFormat="1">
      <c r="B114" s="9"/>
      <c r="C114" s="10"/>
      <c r="D114" s="9"/>
      <c r="E114" s="1"/>
      <c r="F114" s="1"/>
      <c r="G114" s="10"/>
      <c r="I114" s="1"/>
      <c r="J114" s="1"/>
      <c r="K114" s="1"/>
      <c r="L114" s="1"/>
      <c r="M114" s="1"/>
      <c r="N114" s="1"/>
    </row>
    <row r="115" spans="2:14">
      <c r="B115" s="18" t="s">
        <v>88</v>
      </c>
      <c r="C115" s="19">
        <f>C108+C113+C107+C101+C103+C109</f>
        <v>560160.41863605671</v>
      </c>
      <c r="D115" s="18" t="s">
        <v>87</v>
      </c>
      <c r="E115" s="26"/>
      <c r="F115" s="26"/>
      <c r="G115" s="19">
        <f>G102+G108+G109+G107+G104</f>
        <v>560160.41863605671</v>
      </c>
    </row>
    <row r="116" spans="2:14">
      <c r="B116" s="7"/>
      <c r="C116" s="8"/>
      <c r="D116" s="7"/>
      <c r="E116" s="11"/>
      <c r="F116" s="11"/>
      <c r="G116" s="8"/>
    </row>
    <row r="119" spans="2:14" ht="19">
      <c r="B119" s="12" t="s">
        <v>359</v>
      </c>
    </row>
    <row r="121" spans="2:14">
      <c r="B121" s="1" t="s">
        <v>249</v>
      </c>
      <c r="C121" s="1">
        <f>C35</f>
        <v>31966.418636056711</v>
      </c>
    </row>
    <row r="122" spans="2:14">
      <c r="B122" s="1" t="s">
        <v>301</v>
      </c>
      <c r="C122" s="11">
        <f>K13+K12</f>
        <v>6500</v>
      </c>
    </row>
    <row r="123" spans="2:14" ht="11" customHeight="1"/>
    <row r="124" spans="2:14">
      <c r="B124" s="26" t="s">
        <v>29</v>
      </c>
      <c r="C124" s="26">
        <f>C121+C122</f>
        <v>38466.418636056711</v>
      </c>
    </row>
    <row r="126" spans="2:14">
      <c r="B126" s="1" t="s">
        <v>294</v>
      </c>
      <c r="C126" s="1">
        <f>C37</f>
        <v>-1240</v>
      </c>
      <c r="E126" s="3" t="s">
        <v>167</v>
      </c>
      <c r="F126" s="116"/>
      <c r="G126" s="4">
        <f>C43</f>
        <v>24581.134908845368</v>
      </c>
      <c r="H126" s="1"/>
    </row>
    <row r="127" spans="2:14">
      <c r="B127" s="1" t="s">
        <v>295</v>
      </c>
      <c r="C127" s="1">
        <f>C41</f>
        <v>-6145.2837272113429</v>
      </c>
      <c r="E127" s="9"/>
      <c r="F127" s="2"/>
      <c r="G127" s="10"/>
      <c r="H127" s="1"/>
    </row>
    <row r="128" spans="2:14" ht="13" customHeight="1">
      <c r="C128" s="11"/>
      <c r="E128" s="9" t="s">
        <v>353</v>
      </c>
      <c r="F128" s="2"/>
      <c r="G128" s="8">
        <f>K12+K13</f>
        <v>6500</v>
      </c>
      <c r="H128" s="1"/>
    </row>
    <row r="129" spans="2:8" ht="11" customHeight="1">
      <c r="E129" s="9"/>
      <c r="F129" s="2"/>
      <c r="G129" s="10"/>
      <c r="H129" s="1"/>
    </row>
    <row r="130" spans="2:8">
      <c r="B130" s="26" t="s">
        <v>296</v>
      </c>
      <c r="C130" s="26">
        <f>C124+C126+C127</f>
        <v>31081.134908845368</v>
      </c>
      <c r="D130" s="26"/>
      <c r="E130" s="347" t="s">
        <v>296</v>
      </c>
      <c r="F130" s="25"/>
      <c r="G130" s="348">
        <f>G126+G128</f>
        <v>31081.134908845368</v>
      </c>
      <c r="H130" s="1"/>
    </row>
    <row r="132" spans="2:8">
      <c r="B132" s="1" t="s">
        <v>297</v>
      </c>
      <c r="C132" s="1">
        <f>-'Financial analysis October-2'!P131</f>
        <v>-8461.1349088453717</v>
      </c>
    </row>
    <row r="134" spans="2:8">
      <c r="B134" s="26" t="s">
        <v>298</v>
      </c>
      <c r="C134" s="26">
        <f>C130+C132</f>
        <v>22619.999999999996</v>
      </c>
    </row>
    <row r="136" spans="2:8">
      <c r="B136" s="1" t="s">
        <v>299</v>
      </c>
      <c r="C136" s="1">
        <f>-'Development plan Q4'!C52</f>
        <v>-300000</v>
      </c>
    </row>
    <row r="137" spans="2:8">
      <c r="B137" s="1" t="s">
        <v>300</v>
      </c>
      <c r="C137" s="1">
        <f>C60</f>
        <v>-7500</v>
      </c>
    </row>
    <row r="138" spans="2:8" ht="11" customHeight="1">
      <c r="C138" s="11"/>
    </row>
    <row r="139" spans="2:8" ht="11" customHeight="1"/>
    <row r="140" spans="2:8">
      <c r="B140" s="26" t="s">
        <v>256</v>
      </c>
      <c r="C140" s="26">
        <f>C134+C136+C137</f>
        <v>-284880</v>
      </c>
      <c r="D140" s="26"/>
      <c r="E140" s="26"/>
      <c r="F140" s="26"/>
    </row>
    <row r="141" spans="2:8">
      <c r="B141"/>
      <c r="C141"/>
      <c r="G141" s="2"/>
      <c r="H141" s="1"/>
    </row>
    <row r="142" spans="2:8">
      <c r="B142" s="1" t="s">
        <v>340</v>
      </c>
      <c r="C142" s="293">
        <f>'Development plan Q4'!C62</f>
        <v>100000</v>
      </c>
      <c r="G142" s="2"/>
      <c r="H142" s="1"/>
    </row>
    <row r="143" spans="2:8">
      <c r="B143" s="1" t="s">
        <v>354</v>
      </c>
      <c r="C143" s="1">
        <f>-F88</f>
        <v>0</v>
      </c>
      <c r="G143" s="2"/>
      <c r="H143" s="1"/>
    </row>
    <row r="144" spans="2:8">
      <c r="B144"/>
      <c r="C144"/>
      <c r="G144" s="2"/>
      <c r="H144" s="1"/>
    </row>
    <row r="145" spans="2:10">
      <c r="B145" t="s">
        <v>242</v>
      </c>
      <c r="C145" s="293">
        <f>'Development plan Q4'!C54</f>
        <v>200000</v>
      </c>
      <c r="G145" s="2"/>
      <c r="H145" s="1"/>
    </row>
    <row r="146" spans="2:10" ht="11" customHeight="1">
      <c r="B146"/>
      <c r="C146" s="289"/>
      <c r="G146" s="2"/>
      <c r="H146" s="1"/>
    </row>
    <row r="147" spans="2:10" ht="11" customHeight="1">
      <c r="B147"/>
      <c r="C147"/>
      <c r="G147" s="2"/>
      <c r="H147" s="1"/>
    </row>
    <row r="148" spans="2:10">
      <c r="B148" s="358" t="s">
        <v>178</v>
      </c>
      <c r="C148" s="294">
        <f>C140+C142+C143+C145</f>
        <v>15120</v>
      </c>
      <c r="F148" s="26"/>
      <c r="G148" s="2"/>
      <c r="H148" s="1"/>
      <c r="J148" s="26"/>
    </row>
  </sheetData>
  <pageMargins left="0.7" right="0.7" top="0.75" bottom="0.75" header="0.3" footer="0.3"/>
  <ignoredErrors>
    <ignoredError sqref="C115" evalErro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3E9E-8B1E-2C45-8851-BC57E383E0F4}">
  <dimension ref="B3:P172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6.33203125" customWidth="1"/>
    <col min="7" max="16" width="10.83203125" style="89"/>
  </cols>
  <sheetData>
    <row r="3" spans="2:16" ht="19">
      <c r="B3" s="12"/>
    </row>
    <row r="4" spans="2:16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247"/>
      <c r="N4" s="247"/>
      <c r="O4" s="247"/>
      <c r="P4" s="90"/>
    </row>
    <row r="5" spans="2:16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248" t="s">
        <v>279</v>
      </c>
      <c r="N5" s="248" t="s">
        <v>280</v>
      </c>
      <c r="O5" s="248" t="s">
        <v>147</v>
      </c>
      <c r="P5" s="70" t="s">
        <v>148</v>
      </c>
    </row>
    <row r="6" spans="2:16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249"/>
      <c r="N6" s="249"/>
      <c r="O6" s="249"/>
      <c r="P6" s="92"/>
    </row>
    <row r="7" spans="2:16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247"/>
      <c r="N7" s="247"/>
      <c r="O7" s="247"/>
      <c r="P7" s="90"/>
    </row>
    <row r="8" spans="2:16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250">
        <f>'July-2'!C24</f>
        <v>99500</v>
      </c>
      <c r="N8" s="250">
        <f>'August-2'!C24</f>
        <v>84000</v>
      </c>
      <c r="O8" s="250">
        <f>'September-2'!C25</f>
        <v>117500</v>
      </c>
      <c r="P8" s="93">
        <f>'October-2'!C24</f>
        <v>180000</v>
      </c>
    </row>
    <row r="9" spans="2:16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251"/>
      <c r="N9" s="251"/>
      <c r="O9" s="251"/>
      <c r="P9" s="91"/>
    </row>
    <row r="10" spans="2:16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252">
        <f>'July-2'!C26</f>
        <v>-65950.478418919476</v>
      </c>
      <c r="N10" s="252">
        <f>'August-2'!C26</f>
        <v>-55191.566492690647</v>
      </c>
      <c r="O10" s="252">
        <f>'September-2'!C27</f>
        <v>-77726.372670807454</v>
      </c>
      <c r="P10" s="94">
        <f>'October-2'!C26</f>
        <v>-119133.58136394329</v>
      </c>
    </row>
    <row r="11" spans="2:16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251"/>
      <c r="N11" s="251"/>
      <c r="O11" s="251"/>
      <c r="P11" s="91"/>
    </row>
    <row r="12" spans="2:16">
      <c r="B12" s="71" t="s">
        <v>108</v>
      </c>
      <c r="C12" s="100">
        <f>C8+C10</f>
        <v>2000</v>
      </c>
      <c r="D12" s="100">
        <f t="shared" ref="D12:O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250">
        <f t="shared" si="0"/>
        <v>33549.521581080524</v>
      </c>
      <c r="N12" s="250">
        <f t="shared" si="0"/>
        <v>28808.433507309353</v>
      </c>
      <c r="O12" s="250">
        <f t="shared" si="0"/>
        <v>39773.627329192546</v>
      </c>
      <c r="P12" s="93">
        <f t="shared" ref="P12" si="1">P8+P10</f>
        <v>60866.418636056711</v>
      </c>
    </row>
    <row r="13" spans="2:16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251"/>
      <c r="N13" s="251"/>
      <c r="O13" s="251"/>
      <c r="P13" s="91"/>
    </row>
    <row r="14" spans="2:16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250">
        <f>'July-2'!C30</f>
        <v>-3000</v>
      </c>
      <c r="N14" s="250">
        <f>'August-2'!C30</f>
        <v>-3000</v>
      </c>
      <c r="O14" s="250">
        <f>'September-2'!C31</f>
        <v>-3000</v>
      </c>
      <c r="P14" s="93">
        <f>'October-2'!C30</f>
        <v>-5000</v>
      </c>
    </row>
    <row r="15" spans="2:16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250">
        <f>'July-2'!C31</f>
        <v>-3900</v>
      </c>
      <c r="N15" s="250">
        <f>'August-2'!C31</f>
        <v>-3900</v>
      </c>
      <c r="O15" s="250">
        <f>'September-2'!C32</f>
        <v>-6500</v>
      </c>
      <c r="P15" s="93">
        <f>'October-2'!C31</f>
        <v>-10400</v>
      </c>
    </row>
    <row r="16" spans="2:16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250">
        <f>'July-2'!C32</f>
        <v>-1500</v>
      </c>
      <c r="N16" s="250">
        <f>'August-2'!C32</f>
        <v>-1500</v>
      </c>
      <c r="O16" s="250">
        <f>'September-2'!C33</f>
        <v>-6000</v>
      </c>
      <c r="P16" s="93">
        <f>'October-2'!C32</f>
        <v>-7500</v>
      </c>
    </row>
    <row r="17" spans="2:16">
      <c r="B17" s="71" t="s">
        <v>355</v>
      </c>
      <c r="C17" s="100"/>
      <c r="D17" s="100"/>
      <c r="E17" s="100"/>
      <c r="F17" s="100"/>
      <c r="G17" s="136"/>
      <c r="H17" s="136"/>
      <c r="I17" s="136"/>
      <c r="J17" s="181"/>
      <c r="K17" s="181"/>
      <c r="L17" s="181"/>
      <c r="M17" s="250"/>
      <c r="N17" s="250"/>
      <c r="O17" s="250"/>
      <c r="P17" s="93">
        <f>'October-2'!C33</f>
        <v>-6000</v>
      </c>
    </row>
    <row r="18" spans="2:16">
      <c r="B18" s="71"/>
      <c r="C18" s="100"/>
      <c r="D18" s="100"/>
      <c r="E18" s="100"/>
      <c r="F18" s="100"/>
      <c r="G18" s="137"/>
      <c r="H18" s="137"/>
      <c r="I18" s="137"/>
      <c r="J18" s="182"/>
      <c r="K18" s="182"/>
      <c r="L18" s="182"/>
      <c r="M18" s="251"/>
      <c r="N18" s="251"/>
      <c r="O18" s="251"/>
      <c r="P18" s="91"/>
    </row>
    <row r="19" spans="2:16">
      <c r="B19" s="71" t="s">
        <v>181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6">
        <f t="shared" si="2"/>
        <v>4200</v>
      </c>
      <c r="H19" s="136">
        <f t="shared" ref="H19:O19" si="3">H12+H14+H15+H16</f>
        <v>4700</v>
      </c>
      <c r="I19" s="136">
        <f t="shared" si="3"/>
        <v>1900</v>
      </c>
      <c r="J19" s="181">
        <f t="shared" si="3"/>
        <v>6100</v>
      </c>
      <c r="K19" s="181">
        <f t="shared" si="3"/>
        <v>5834.5238095238092</v>
      </c>
      <c r="L19" s="181">
        <f t="shared" si="3"/>
        <v>16347.893772893767</v>
      </c>
      <c r="M19" s="250">
        <f t="shared" si="3"/>
        <v>25149.521581080524</v>
      </c>
      <c r="N19" s="250">
        <f t="shared" si="3"/>
        <v>20408.433507309353</v>
      </c>
      <c r="O19" s="250">
        <f t="shared" si="3"/>
        <v>24273.627329192546</v>
      </c>
      <c r="P19" s="93">
        <f>P12+P14+P15+P16+P17</f>
        <v>31966.418636056711</v>
      </c>
    </row>
    <row r="20" spans="2:16">
      <c r="B20" s="71" t="s">
        <v>161</v>
      </c>
      <c r="C20" s="99"/>
      <c r="D20" s="99"/>
      <c r="E20" s="99"/>
      <c r="F20" s="99"/>
      <c r="G20" s="138">
        <f>'January-2'!D14</f>
        <v>-4000</v>
      </c>
      <c r="H20" s="138"/>
      <c r="I20" s="138"/>
      <c r="J20" s="183"/>
      <c r="K20" s="183"/>
      <c r="L20" s="183"/>
      <c r="M20" s="252"/>
      <c r="N20" s="252"/>
      <c r="O20" s="252"/>
      <c r="P20" s="94"/>
    </row>
    <row r="21" spans="2:16">
      <c r="B21" s="71"/>
      <c r="C21" s="100"/>
      <c r="D21" s="100"/>
      <c r="E21" s="100"/>
      <c r="F21" s="100"/>
      <c r="G21" s="136"/>
      <c r="H21" s="136"/>
      <c r="I21" s="136"/>
      <c r="J21" s="181"/>
      <c r="K21" s="181"/>
      <c r="L21" s="181"/>
      <c r="M21" s="250"/>
      <c r="N21" s="250"/>
      <c r="O21" s="250"/>
      <c r="P21" s="93"/>
    </row>
    <row r="22" spans="2:16">
      <c r="B22" s="71" t="s">
        <v>144</v>
      </c>
      <c r="C22" s="100">
        <f>C19+C20</f>
        <v>1000</v>
      </c>
      <c r="D22" s="100">
        <f t="shared" ref="D22:O22" si="4">D19+D20</f>
        <v>2000</v>
      </c>
      <c r="E22" s="100">
        <f t="shared" si="4"/>
        <v>3700</v>
      </c>
      <c r="F22" s="100">
        <f t="shared" si="4"/>
        <v>6700</v>
      </c>
      <c r="G22" s="139">
        <f t="shared" si="4"/>
        <v>200</v>
      </c>
      <c r="H22" s="139">
        <f t="shared" si="4"/>
        <v>4700</v>
      </c>
      <c r="I22" s="139">
        <f t="shared" si="4"/>
        <v>1900</v>
      </c>
      <c r="J22" s="184">
        <f t="shared" si="4"/>
        <v>6100</v>
      </c>
      <c r="K22" s="184">
        <f t="shared" si="4"/>
        <v>5834.5238095238092</v>
      </c>
      <c r="L22" s="184">
        <f t="shared" si="4"/>
        <v>16347.893772893767</v>
      </c>
      <c r="M22" s="253">
        <f t="shared" si="4"/>
        <v>25149.521581080524</v>
      </c>
      <c r="N22" s="253">
        <f t="shared" si="4"/>
        <v>20408.433507309353</v>
      </c>
      <c r="O22" s="253">
        <f t="shared" si="4"/>
        <v>24273.627329192546</v>
      </c>
      <c r="P22" s="71">
        <f t="shared" ref="P22" si="5">P19+P20</f>
        <v>31966.418636056711</v>
      </c>
    </row>
    <row r="23" spans="2:16">
      <c r="B23" s="71"/>
      <c r="C23" s="100"/>
      <c r="D23" s="100"/>
      <c r="E23" s="100"/>
      <c r="F23" s="100"/>
      <c r="G23" s="139"/>
      <c r="H23" s="139"/>
      <c r="I23" s="139"/>
      <c r="J23" s="184"/>
      <c r="K23" s="184"/>
      <c r="L23" s="184"/>
      <c r="M23" s="253"/>
      <c r="N23" s="253"/>
      <c r="O23" s="253"/>
      <c r="P23" s="71"/>
    </row>
    <row r="24" spans="2:16">
      <c r="B24" s="71" t="s">
        <v>263</v>
      </c>
      <c r="C24" s="99"/>
      <c r="D24" s="99"/>
      <c r="E24" s="99"/>
      <c r="F24" s="99"/>
      <c r="G24" s="140"/>
      <c r="H24" s="140"/>
      <c r="I24" s="140"/>
      <c r="J24" s="185">
        <f>'April-2'!D36</f>
        <v>-240</v>
      </c>
      <c r="K24" s="185">
        <f>'May-2'!D36</f>
        <v>-240</v>
      </c>
      <c r="L24" s="185">
        <f>'June-2'!D36</f>
        <v>-240</v>
      </c>
      <c r="M24" s="254">
        <f>'July-2'!C36</f>
        <v>-240</v>
      </c>
      <c r="N24" s="254">
        <f>'August-2'!C36</f>
        <v>-240</v>
      </c>
      <c r="O24" s="254">
        <f>'September-2'!C37</f>
        <v>-240</v>
      </c>
      <c r="P24" s="72">
        <f>'October-2'!C37</f>
        <v>-1240</v>
      </c>
    </row>
    <row r="25" spans="2:16">
      <c r="B25" s="71"/>
      <c r="C25" s="100"/>
      <c r="D25" s="100"/>
      <c r="E25" s="100"/>
      <c r="F25" s="100"/>
      <c r="G25" s="139"/>
      <c r="H25" s="139"/>
      <c r="I25" s="139"/>
      <c r="J25" s="184"/>
      <c r="K25" s="184"/>
      <c r="L25" s="184"/>
      <c r="M25" s="253"/>
      <c r="N25" s="253"/>
      <c r="O25" s="253"/>
      <c r="P25" s="71"/>
    </row>
    <row r="26" spans="2:16">
      <c r="B26" s="71" t="s">
        <v>264</v>
      </c>
      <c r="C26" s="100"/>
      <c r="D26" s="100"/>
      <c r="E26" s="100"/>
      <c r="F26" s="100"/>
      <c r="G26" s="139"/>
      <c r="H26" s="139"/>
      <c r="I26" s="139"/>
      <c r="J26" s="184">
        <f t="shared" ref="J26:O26" si="6">J22+J24</f>
        <v>5860</v>
      </c>
      <c r="K26" s="184">
        <f t="shared" si="6"/>
        <v>5594.5238095238092</v>
      </c>
      <c r="L26" s="184">
        <f t="shared" si="6"/>
        <v>16107.893772893767</v>
      </c>
      <c r="M26" s="253">
        <f t="shared" si="6"/>
        <v>24909.521581080524</v>
      </c>
      <c r="N26" s="253">
        <f t="shared" si="6"/>
        <v>20168.433507309353</v>
      </c>
      <c r="O26" s="253">
        <f t="shared" si="6"/>
        <v>24033.627329192546</v>
      </c>
      <c r="P26" s="71">
        <f t="shared" ref="P26" si="7">P22+P24</f>
        <v>30726.418636056711</v>
      </c>
    </row>
    <row r="27" spans="2:16">
      <c r="B27" s="71"/>
      <c r="C27" s="100"/>
      <c r="D27" s="100"/>
      <c r="E27" s="100"/>
      <c r="F27" s="100"/>
      <c r="G27" s="137"/>
      <c r="H27" s="137"/>
      <c r="I27" s="137"/>
      <c r="J27" s="182"/>
      <c r="K27" s="182"/>
      <c r="L27" s="182"/>
      <c r="M27" s="251"/>
      <c r="N27" s="251"/>
      <c r="O27" s="251"/>
      <c r="P27" s="91"/>
    </row>
    <row r="28" spans="2:16">
      <c r="B28" s="71" t="s">
        <v>265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0">
        <f t="shared" si="8"/>
        <v>-40</v>
      </c>
      <c r="H28" s="140">
        <f t="shared" si="8"/>
        <v>-940</v>
      </c>
      <c r="I28" s="140">
        <f t="shared" si="8"/>
        <v>-380</v>
      </c>
      <c r="J28" s="185">
        <f>'April-2'!D40</f>
        <v>-1172</v>
      </c>
      <c r="K28" s="185">
        <f>'May-2'!D40</f>
        <v>-1118.9047619047619</v>
      </c>
      <c r="L28" s="185">
        <f>'June-2'!D40</f>
        <v>-3221.5787545787534</v>
      </c>
      <c r="M28" s="254">
        <f>'July-2'!C40</f>
        <v>-4981.9043162161051</v>
      </c>
      <c r="N28" s="254">
        <f>'August-2'!C40</f>
        <v>-4033.6867014618711</v>
      </c>
      <c r="O28" s="254">
        <f>'September-2'!C41</f>
        <v>-4806.7254658385091</v>
      </c>
      <c r="P28" s="72">
        <f>'October-2'!C41</f>
        <v>-6145.2837272113429</v>
      </c>
    </row>
    <row r="29" spans="2:16">
      <c r="B29" s="71"/>
      <c r="C29" s="100"/>
      <c r="D29" s="100"/>
      <c r="E29" s="100"/>
      <c r="F29" s="100"/>
      <c r="G29" s="137"/>
      <c r="H29" s="137"/>
      <c r="I29" s="137"/>
      <c r="J29" s="182"/>
      <c r="K29" s="182"/>
      <c r="L29" s="182"/>
      <c r="M29" s="251"/>
      <c r="N29" s="251"/>
      <c r="O29" s="251"/>
      <c r="P29" s="91"/>
    </row>
    <row r="30" spans="2:16">
      <c r="B30" s="71" t="s">
        <v>167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39">
        <f t="shared" si="9"/>
        <v>160</v>
      </c>
      <c r="H30" s="139">
        <f t="shared" si="9"/>
        <v>3760</v>
      </c>
      <c r="I30" s="139">
        <f t="shared" si="9"/>
        <v>1520</v>
      </c>
      <c r="J30" s="184">
        <f t="shared" ref="J30:O30" si="10">J26+J28</f>
        <v>4688</v>
      </c>
      <c r="K30" s="184">
        <f t="shared" si="10"/>
        <v>4475.6190476190477</v>
      </c>
      <c r="L30" s="184">
        <f t="shared" si="10"/>
        <v>12886.315018315014</v>
      </c>
      <c r="M30" s="253">
        <f t="shared" si="10"/>
        <v>19927.617264864421</v>
      </c>
      <c r="N30" s="253">
        <f t="shared" si="10"/>
        <v>16134.746805847482</v>
      </c>
      <c r="O30" s="253">
        <f t="shared" si="10"/>
        <v>19226.901863354036</v>
      </c>
      <c r="P30" s="71">
        <f t="shared" ref="P30" si="11">P26+P28</f>
        <v>24581.134908845368</v>
      </c>
    </row>
    <row r="31" spans="2:16">
      <c r="B31" s="53"/>
      <c r="C31" s="104"/>
      <c r="D31" s="104"/>
      <c r="E31" s="104"/>
      <c r="F31" s="104"/>
      <c r="G31" s="135"/>
      <c r="H31" s="135"/>
      <c r="I31" s="135"/>
      <c r="J31" s="180"/>
      <c r="K31" s="180"/>
      <c r="L31" s="180"/>
      <c r="M31" s="249"/>
      <c r="N31" s="249"/>
      <c r="O31" s="249"/>
      <c r="P31" s="92"/>
    </row>
    <row r="47" spans="2:16">
      <c r="B47" s="50"/>
      <c r="C47" s="102"/>
      <c r="D47" s="102"/>
      <c r="E47" s="102"/>
      <c r="F47" s="102"/>
      <c r="G47" s="133"/>
      <c r="H47" s="133"/>
      <c r="I47" s="133"/>
      <c r="J47" s="178"/>
      <c r="K47" s="178"/>
      <c r="L47" s="178"/>
      <c r="M47" s="247"/>
      <c r="N47" s="247"/>
      <c r="O47" s="247"/>
      <c r="P47" s="90"/>
    </row>
    <row r="48" spans="2:16" ht="19">
      <c r="B48" s="80" t="s">
        <v>21</v>
      </c>
      <c r="C48" s="103" t="s">
        <v>147</v>
      </c>
      <c r="D48" s="103" t="s">
        <v>148</v>
      </c>
      <c r="E48" s="103" t="s">
        <v>149</v>
      </c>
      <c r="F48" s="103" t="s">
        <v>150</v>
      </c>
      <c r="G48" s="134" t="s">
        <v>171</v>
      </c>
      <c r="H48" s="134" t="s">
        <v>190</v>
      </c>
      <c r="I48" s="134" t="s">
        <v>192</v>
      </c>
      <c r="J48" s="179" t="s">
        <v>195</v>
      </c>
      <c r="K48" s="179" t="s">
        <v>196</v>
      </c>
      <c r="L48" s="179" t="s">
        <v>197</v>
      </c>
      <c r="M48" s="248" t="s">
        <v>279</v>
      </c>
      <c r="N48" s="248" t="s">
        <v>280</v>
      </c>
      <c r="O48" s="248" t="s">
        <v>147</v>
      </c>
      <c r="P48" s="70" t="str">
        <f t="shared" ref="P48" si="12">P5</f>
        <v>October</v>
      </c>
    </row>
    <row r="49" spans="2:16">
      <c r="B49" s="53"/>
      <c r="C49" s="104"/>
      <c r="D49" s="104"/>
      <c r="E49" s="104"/>
      <c r="F49" s="104"/>
      <c r="G49" s="135"/>
      <c r="H49" s="135"/>
      <c r="I49" s="135"/>
      <c r="J49" s="180"/>
      <c r="K49" s="180"/>
      <c r="L49" s="180"/>
      <c r="M49" s="249"/>
      <c r="N49" s="249"/>
      <c r="O49" s="249"/>
      <c r="P49" s="92"/>
    </row>
    <row r="50" spans="2:16">
      <c r="B50" s="50"/>
      <c r="C50" s="102"/>
      <c r="D50" s="102"/>
      <c r="E50" s="102"/>
      <c r="F50" s="102"/>
      <c r="G50" s="133"/>
      <c r="H50" s="133"/>
      <c r="I50" s="133"/>
      <c r="J50" s="178"/>
      <c r="K50" s="178"/>
      <c r="L50" s="178"/>
      <c r="M50" s="247"/>
      <c r="N50" s="247"/>
      <c r="O50" s="247"/>
      <c r="P50" s="90"/>
    </row>
    <row r="51" spans="2:16">
      <c r="B51" s="71" t="s">
        <v>65</v>
      </c>
      <c r="C51" s="105">
        <f t="shared" ref="C51:O51" si="13">C8/C$8</f>
        <v>1</v>
      </c>
      <c r="D51" s="105">
        <f t="shared" si="13"/>
        <v>1</v>
      </c>
      <c r="E51" s="105">
        <f t="shared" si="13"/>
        <v>1</v>
      </c>
      <c r="F51" s="105">
        <f t="shared" si="13"/>
        <v>1</v>
      </c>
      <c r="G51" s="141">
        <f t="shared" si="13"/>
        <v>1</v>
      </c>
      <c r="H51" s="141">
        <f t="shared" si="13"/>
        <v>1</v>
      </c>
      <c r="I51" s="141">
        <f t="shared" si="13"/>
        <v>1</v>
      </c>
      <c r="J51" s="186">
        <f t="shared" si="13"/>
        <v>1</v>
      </c>
      <c r="K51" s="186">
        <f t="shared" si="13"/>
        <v>1</v>
      </c>
      <c r="L51" s="186">
        <f t="shared" si="13"/>
        <v>1</v>
      </c>
      <c r="M51" s="255">
        <f t="shared" si="13"/>
        <v>1</v>
      </c>
      <c r="N51" s="255">
        <f t="shared" si="13"/>
        <v>1</v>
      </c>
      <c r="O51" s="255">
        <f t="shared" si="13"/>
        <v>1</v>
      </c>
      <c r="P51" s="295">
        <f t="shared" ref="P51" si="14">P8/P$8</f>
        <v>1</v>
      </c>
    </row>
    <row r="52" spans="2:16">
      <c r="B52" s="71"/>
      <c r="C52" s="100"/>
      <c r="D52" s="100"/>
      <c r="E52" s="100"/>
      <c r="F52" s="100"/>
      <c r="G52" s="136"/>
      <c r="H52" s="136"/>
      <c r="I52" s="136"/>
      <c r="J52" s="181"/>
      <c r="K52" s="181"/>
      <c r="L52" s="181"/>
      <c r="M52" s="250"/>
      <c r="N52" s="250"/>
      <c r="O52" s="250"/>
      <c r="P52" s="93"/>
    </row>
    <row r="53" spans="2:16">
      <c r="B53" s="71" t="s">
        <v>187</v>
      </c>
      <c r="C53" s="106">
        <f t="shared" ref="C53:O53" si="15">C10/C$8</f>
        <v>-0.66666666666666663</v>
      </c>
      <c r="D53" s="106">
        <f t="shared" si="15"/>
        <v>-0.72727272727272729</v>
      </c>
      <c r="E53" s="106">
        <f t="shared" si="15"/>
        <v>-0.7407407407407407</v>
      </c>
      <c r="F53" s="106">
        <f t="shared" si="15"/>
        <v>-0.72222222222222221</v>
      </c>
      <c r="G53" s="142">
        <f t="shared" si="15"/>
        <v>-0.72727272727272729</v>
      </c>
      <c r="H53" s="142">
        <f t="shared" si="15"/>
        <v>-0.72463768115942029</v>
      </c>
      <c r="I53" s="142">
        <f t="shared" si="15"/>
        <v>-0.72727272727272729</v>
      </c>
      <c r="J53" s="187">
        <f t="shared" si="15"/>
        <v>-0.72380952380952379</v>
      </c>
      <c r="K53" s="187">
        <f t="shared" si="15"/>
        <v>-0.76471861471861469</v>
      </c>
      <c r="L53" s="187">
        <f t="shared" si="15"/>
        <v>-0.68870573870573881</v>
      </c>
      <c r="M53" s="256">
        <f t="shared" si="15"/>
        <v>-0.66281887858210531</v>
      </c>
      <c r="N53" s="256">
        <f t="shared" si="15"/>
        <v>-0.65704245824631724</v>
      </c>
      <c r="O53" s="256">
        <f t="shared" si="15"/>
        <v>-0.66150104400687193</v>
      </c>
      <c r="P53" s="296">
        <f t="shared" ref="P53" si="16">P10/P$8</f>
        <v>-0.66185322979968497</v>
      </c>
    </row>
    <row r="54" spans="2:16">
      <c r="B54" s="71"/>
      <c r="C54" s="100"/>
      <c r="D54" s="100"/>
      <c r="E54" s="100"/>
      <c r="F54" s="100"/>
      <c r="G54" s="136"/>
      <c r="H54" s="136"/>
      <c r="I54" s="136"/>
      <c r="J54" s="181"/>
      <c r="K54" s="181"/>
      <c r="L54" s="181"/>
      <c r="M54" s="250"/>
      <c r="N54" s="250"/>
      <c r="O54" s="250"/>
      <c r="P54" s="93"/>
    </row>
    <row r="55" spans="2:16">
      <c r="B55" s="71" t="s">
        <v>108</v>
      </c>
      <c r="C55" s="105">
        <f t="shared" ref="C55:O55" si="17">C12/C$8</f>
        <v>0.33333333333333331</v>
      </c>
      <c r="D55" s="105">
        <f t="shared" si="17"/>
        <v>0.27272727272727271</v>
      </c>
      <c r="E55" s="105">
        <f t="shared" si="17"/>
        <v>0.25925925925925924</v>
      </c>
      <c r="F55" s="105">
        <f t="shared" si="17"/>
        <v>0.27777777777777779</v>
      </c>
      <c r="G55" s="141">
        <f t="shared" si="17"/>
        <v>0.27272727272727271</v>
      </c>
      <c r="H55" s="141">
        <f t="shared" si="17"/>
        <v>0.27536231884057971</v>
      </c>
      <c r="I55" s="141">
        <f t="shared" si="17"/>
        <v>0.27272727272727271</v>
      </c>
      <c r="J55" s="186">
        <f t="shared" si="17"/>
        <v>0.27619047619047621</v>
      </c>
      <c r="K55" s="186">
        <f t="shared" si="17"/>
        <v>0.23528138528138529</v>
      </c>
      <c r="L55" s="186">
        <f t="shared" si="17"/>
        <v>0.31129426129426124</v>
      </c>
      <c r="M55" s="255">
        <f t="shared" si="17"/>
        <v>0.33718112141789469</v>
      </c>
      <c r="N55" s="255">
        <f t="shared" si="17"/>
        <v>0.34295754175368276</v>
      </c>
      <c r="O55" s="255">
        <f t="shared" si="17"/>
        <v>0.33849895599312807</v>
      </c>
      <c r="P55" s="295">
        <f t="shared" ref="P55" si="18">P12/P$8</f>
        <v>0.33814677020031508</v>
      </c>
    </row>
    <row r="56" spans="2:16">
      <c r="B56" s="71"/>
      <c r="C56" s="100"/>
      <c r="D56" s="100"/>
      <c r="E56" s="100"/>
      <c r="F56" s="100"/>
      <c r="G56" s="136"/>
      <c r="H56" s="136"/>
      <c r="I56" s="136"/>
      <c r="J56" s="181"/>
      <c r="K56" s="181"/>
      <c r="L56" s="181"/>
      <c r="M56" s="250"/>
      <c r="N56" s="250"/>
      <c r="O56" s="250"/>
      <c r="P56" s="93"/>
    </row>
    <row r="57" spans="2:16">
      <c r="B57" s="71" t="s">
        <v>99</v>
      </c>
      <c r="C57" s="105">
        <f t="shared" ref="C57:O57" si="19">C14/C$8</f>
        <v>-0.16666666666666666</v>
      </c>
      <c r="D57" s="105">
        <f t="shared" si="19"/>
        <v>-9.0909090909090912E-2</v>
      </c>
      <c r="E57" s="105">
        <f t="shared" si="19"/>
        <v>-7.407407407407407E-2</v>
      </c>
      <c r="F57" s="105">
        <f t="shared" si="19"/>
        <v>-5.5555555555555552E-2</v>
      </c>
      <c r="G57" s="141">
        <f t="shared" si="19"/>
        <v>-7.2727272727272724E-2</v>
      </c>
      <c r="H57" s="141">
        <f t="shared" si="19"/>
        <v>-5.7971014492753624E-2</v>
      </c>
      <c r="I57" s="141">
        <f t="shared" si="19"/>
        <v>-7.792207792207792E-2</v>
      </c>
      <c r="J57" s="186">
        <f t="shared" si="19"/>
        <v>-5.7142857142857141E-2</v>
      </c>
      <c r="K57" s="186">
        <f t="shared" si="19"/>
        <v>-4.9586776859504134E-2</v>
      </c>
      <c r="L57" s="186">
        <f t="shared" si="19"/>
        <v>-3.7735849056603772E-2</v>
      </c>
      <c r="M57" s="255">
        <f t="shared" si="19"/>
        <v>-3.015075376884422E-2</v>
      </c>
      <c r="N57" s="255">
        <f t="shared" si="19"/>
        <v>-3.5714285714285712E-2</v>
      </c>
      <c r="O57" s="255">
        <f t="shared" si="19"/>
        <v>-2.553191489361702E-2</v>
      </c>
      <c r="P57" s="295">
        <f t="shared" ref="P57" si="20">P14/P$8</f>
        <v>-2.7777777777777776E-2</v>
      </c>
    </row>
    <row r="58" spans="2:16">
      <c r="B58" s="71" t="s">
        <v>100</v>
      </c>
      <c r="C58" s="100"/>
      <c r="D58" s="100"/>
      <c r="E58" s="105">
        <f t="shared" ref="E58:O58" si="21">E15/E$8</f>
        <v>-4.8148148148148148E-2</v>
      </c>
      <c r="F58" s="105">
        <f t="shared" si="21"/>
        <v>-3.6111111111111108E-2</v>
      </c>
      <c r="G58" s="141">
        <f t="shared" si="21"/>
        <v>-4.7272727272727272E-2</v>
      </c>
      <c r="H58" s="141">
        <f t="shared" si="21"/>
        <v>-3.7681159420289857E-2</v>
      </c>
      <c r="I58" s="141">
        <f t="shared" si="21"/>
        <v>-6.7532467532467527E-2</v>
      </c>
      <c r="J58" s="186">
        <f t="shared" si="21"/>
        <v>-7.4285714285714288E-2</v>
      </c>
      <c r="K58" s="186">
        <f t="shared" si="21"/>
        <v>-6.4462809917355368E-2</v>
      </c>
      <c r="L58" s="186">
        <f t="shared" si="21"/>
        <v>-4.9056603773584909E-2</v>
      </c>
      <c r="M58" s="255">
        <f t="shared" si="21"/>
        <v>-3.9195979899497489E-2</v>
      </c>
      <c r="N58" s="255">
        <f t="shared" si="21"/>
        <v>-4.642857142857143E-2</v>
      </c>
      <c r="O58" s="255">
        <f t="shared" si="21"/>
        <v>-5.5319148936170209E-2</v>
      </c>
      <c r="P58" s="295">
        <f t="shared" ref="P58" si="22">P15/P$8</f>
        <v>-5.7777777777777775E-2</v>
      </c>
    </row>
    <row r="59" spans="2:16">
      <c r="B59" s="71" t="s">
        <v>188</v>
      </c>
      <c r="C59" s="100"/>
      <c r="D59" s="100"/>
      <c r="E59" s="100"/>
      <c r="F59" s="100"/>
      <c r="G59" s="136"/>
      <c r="H59" s="141">
        <f t="shared" ref="H59:O59" si="23">H16/H$8</f>
        <v>-4.3478260869565216E-2</v>
      </c>
      <c r="I59" s="141">
        <f t="shared" si="23"/>
        <v>-7.792207792207792E-2</v>
      </c>
      <c r="J59" s="186">
        <f t="shared" si="23"/>
        <v>-2.8571428571428571E-2</v>
      </c>
      <c r="K59" s="186">
        <f t="shared" si="23"/>
        <v>-2.4793388429752067E-2</v>
      </c>
      <c r="L59" s="186">
        <f t="shared" si="23"/>
        <v>-1.8867924528301886E-2</v>
      </c>
      <c r="M59" s="255">
        <f t="shared" si="23"/>
        <v>-1.507537688442211E-2</v>
      </c>
      <c r="N59" s="255">
        <f t="shared" si="23"/>
        <v>-1.7857142857142856E-2</v>
      </c>
      <c r="O59" s="255">
        <f t="shared" si="23"/>
        <v>-5.106382978723404E-2</v>
      </c>
      <c r="P59" s="295">
        <f t="shared" ref="P59" si="24">P16/P$8</f>
        <v>-4.1666666666666664E-2</v>
      </c>
    </row>
    <row r="60" spans="2:16">
      <c r="B60" s="71" t="s">
        <v>355</v>
      </c>
      <c r="C60" s="99"/>
      <c r="D60" s="99"/>
      <c r="E60" s="99"/>
      <c r="F60" s="99"/>
      <c r="G60" s="138"/>
      <c r="H60" s="142"/>
      <c r="I60" s="142"/>
      <c r="J60" s="187"/>
      <c r="K60" s="187"/>
      <c r="L60" s="187"/>
      <c r="M60" s="256"/>
      <c r="N60" s="256"/>
      <c r="O60" s="256"/>
      <c r="P60" s="296">
        <f>P17/P8</f>
        <v>-3.3333333333333333E-2</v>
      </c>
    </row>
    <row r="61" spans="2:16">
      <c r="B61" s="71"/>
      <c r="C61" s="100"/>
      <c r="D61" s="100"/>
      <c r="E61" s="100"/>
      <c r="F61" s="100"/>
      <c r="G61" s="136"/>
      <c r="H61" s="136"/>
      <c r="I61" s="136"/>
      <c r="J61" s="181"/>
      <c r="K61" s="181"/>
      <c r="L61" s="181"/>
      <c r="M61" s="250"/>
      <c r="N61" s="250"/>
      <c r="O61" s="250"/>
      <c r="P61" s="93"/>
    </row>
    <row r="62" spans="2:16">
      <c r="B62" s="71" t="s">
        <v>22</v>
      </c>
      <c r="C62" s="105">
        <f t="shared" ref="C62:O62" si="25">C19/C$8</f>
        <v>0.16666666666666666</v>
      </c>
      <c r="D62" s="105">
        <f t="shared" si="25"/>
        <v>0.18181818181818182</v>
      </c>
      <c r="E62" s="105">
        <f t="shared" si="25"/>
        <v>0.13703703703703704</v>
      </c>
      <c r="F62" s="105">
        <f t="shared" si="25"/>
        <v>0.18611111111111112</v>
      </c>
      <c r="G62" s="141">
        <f t="shared" si="25"/>
        <v>0.15272727272727274</v>
      </c>
      <c r="H62" s="141">
        <f t="shared" si="25"/>
        <v>0.13623188405797101</v>
      </c>
      <c r="I62" s="141">
        <f t="shared" si="25"/>
        <v>4.9350649350649353E-2</v>
      </c>
      <c r="J62" s="186">
        <f t="shared" si="25"/>
        <v>0.11619047619047619</v>
      </c>
      <c r="K62" s="186">
        <f t="shared" si="25"/>
        <v>9.6438410074773703E-2</v>
      </c>
      <c r="L62" s="186">
        <f t="shared" si="25"/>
        <v>0.20563388393577064</v>
      </c>
      <c r="M62" s="255">
        <f t="shared" si="25"/>
        <v>0.25275901086513092</v>
      </c>
      <c r="N62" s="255">
        <f t="shared" si="25"/>
        <v>0.24295754175368278</v>
      </c>
      <c r="O62" s="255">
        <f t="shared" si="25"/>
        <v>0.20658406237610677</v>
      </c>
      <c r="P62" s="295">
        <f t="shared" ref="P62" si="26">P19/P$8</f>
        <v>0.17759121464475949</v>
      </c>
    </row>
    <row r="63" spans="2:16">
      <c r="B63" s="71" t="s">
        <v>24</v>
      </c>
      <c r="C63" s="106"/>
      <c r="D63" s="106"/>
      <c r="E63" s="106"/>
      <c r="F63" s="106"/>
      <c r="G63" s="142">
        <f>G20/G$8</f>
        <v>-0.14545454545454545</v>
      </c>
      <c r="H63" s="142"/>
      <c r="I63" s="142"/>
      <c r="J63" s="187"/>
      <c r="K63" s="187"/>
      <c r="L63" s="187"/>
      <c r="M63" s="256"/>
      <c r="N63" s="256"/>
      <c r="O63" s="256"/>
      <c r="P63" s="296"/>
    </row>
    <row r="64" spans="2:16">
      <c r="B64" s="71"/>
      <c r="C64" s="105"/>
      <c r="D64" s="105"/>
      <c r="E64" s="105"/>
      <c r="F64" s="105"/>
      <c r="G64" s="141"/>
      <c r="H64" s="141"/>
      <c r="I64" s="141"/>
      <c r="J64" s="186"/>
      <c r="K64" s="186"/>
      <c r="L64" s="186"/>
      <c r="M64" s="255"/>
      <c r="N64" s="255"/>
      <c r="O64" s="255"/>
      <c r="P64" s="295"/>
    </row>
    <row r="65" spans="2:16">
      <c r="B65" s="71" t="s">
        <v>19</v>
      </c>
      <c r="C65" s="105">
        <f>C62+C63</f>
        <v>0.16666666666666666</v>
      </c>
      <c r="D65" s="105">
        <f t="shared" ref="D65:O65" si="27">D62+D63</f>
        <v>0.18181818181818182</v>
      </c>
      <c r="E65" s="105">
        <f t="shared" si="27"/>
        <v>0.13703703703703704</v>
      </c>
      <c r="F65" s="105">
        <f t="shared" si="27"/>
        <v>0.18611111111111112</v>
      </c>
      <c r="G65" s="143">
        <f t="shared" si="27"/>
        <v>7.2727272727272918E-3</v>
      </c>
      <c r="H65" s="143">
        <f t="shared" si="27"/>
        <v>0.13623188405797101</v>
      </c>
      <c r="I65" s="143">
        <f t="shared" si="27"/>
        <v>4.9350649350649353E-2</v>
      </c>
      <c r="J65" s="188">
        <f t="shared" si="27"/>
        <v>0.11619047619047619</v>
      </c>
      <c r="K65" s="188">
        <f t="shared" si="27"/>
        <v>9.6438410074773703E-2</v>
      </c>
      <c r="L65" s="188">
        <f t="shared" si="27"/>
        <v>0.20563388393577064</v>
      </c>
      <c r="M65" s="257">
        <f t="shared" si="27"/>
        <v>0.25275901086513092</v>
      </c>
      <c r="N65" s="257">
        <f t="shared" si="27"/>
        <v>0.24295754175368278</v>
      </c>
      <c r="O65" s="257">
        <f t="shared" si="27"/>
        <v>0.20658406237610677</v>
      </c>
      <c r="P65" s="107">
        <f t="shared" ref="P65" si="28">P62+P63</f>
        <v>0.17759121464475949</v>
      </c>
    </row>
    <row r="66" spans="2:16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257"/>
      <c r="N66" s="257"/>
      <c r="O66" s="257"/>
      <c r="P66" s="107"/>
    </row>
    <row r="67" spans="2:16">
      <c r="B67" s="71" t="s">
        <v>27</v>
      </c>
      <c r="C67" s="106"/>
      <c r="D67" s="106"/>
      <c r="E67" s="106"/>
      <c r="F67" s="106"/>
      <c r="G67" s="144"/>
      <c r="H67" s="144"/>
      <c r="I67" s="144"/>
      <c r="J67" s="187">
        <f t="shared" ref="J67:O67" si="29">J24/J$8</f>
        <v>-4.5714285714285718E-3</v>
      </c>
      <c r="K67" s="187">
        <f t="shared" si="29"/>
        <v>-3.9669421487603307E-3</v>
      </c>
      <c r="L67" s="187">
        <f t="shared" si="29"/>
        <v>-3.0188679245283017E-3</v>
      </c>
      <c r="M67" s="256">
        <f t="shared" si="29"/>
        <v>-2.4120603015075378E-3</v>
      </c>
      <c r="N67" s="256">
        <f t="shared" si="29"/>
        <v>-2.8571428571428571E-3</v>
      </c>
      <c r="O67" s="256">
        <f t="shared" si="29"/>
        <v>-2.0425531914893616E-3</v>
      </c>
      <c r="P67" s="296">
        <f t="shared" ref="P67" si="30">P24/P$8</f>
        <v>-6.8888888888888888E-3</v>
      </c>
    </row>
    <row r="68" spans="2:16">
      <c r="B68" s="71"/>
      <c r="C68" s="105"/>
      <c r="D68" s="105"/>
      <c r="E68" s="105"/>
      <c r="F68" s="105"/>
      <c r="G68" s="143"/>
      <c r="H68" s="143"/>
      <c r="I68" s="143"/>
      <c r="J68" s="188"/>
      <c r="K68" s="188"/>
      <c r="L68" s="188"/>
      <c r="M68" s="257"/>
      <c r="N68" s="257"/>
      <c r="O68" s="257"/>
      <c r="P68" s="107"/>
    </row>
    <row r="69" spans="2:16">
      <c r="B69" s="71" t="s">
        <v>28</v>
      </c>
      <c r="C69" s="105"/>
      <c r="D69" s="105"/>
      <c r="E69" s="105"/>
      <c r="F69" s="105"/>
      <c r="G69" s="143"/>
      <c r="H69" s="143"/>
      <c r="I69" s="143"/>
      <c r="J69" s="188">
        <f t="shared" ref="J69:O69" si="31">J65+J67</f>
        <v>0.11161904761904762</v>
      </c>
      <c r="K69" s="188">
        <f t="shared" si="31"/>
        <v>9.2471467926013379E-2</v>
      </c>
      <c r="L69" s="188">
        <f t="shared" si="31"/>
        <v>0.20261501601124235</v>
      </c>
      <c r="M69" s="257">
        <f t="shared" si="31"/>
        <v>0.25034695056362338</v>
      </c>
      <c r="N69" s="257">
        <f t="shared" si="31"/>
        <v>0.24010039889653992</v>
      </c>
      <c r="O69" s="257">
        <f t="shared" si="31"/>
        <v>0.20454150918461741</v>
      </c>
      <c r="P69" s="107">
        <f t="shared" ref="P69" si="32">P65+P67</f>
        <v>0.1707023257558706</v>
      </c>
    </row>
    <row r="70" spans="2:16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250"/>
      <c r="N70" s="250"/>
      <c r="O70" s="250"/>
      <c r="P70" s="93"/>
    </row>
    <row r="71" spans="2:16">
      <c r="B71" s="71" t="s">
        <v>20</v>
      </c>
      <c r="C71" s="106">
        <f t="shared" ref="C71:O71" si="33">C28/C$8</f>
        <v>-3.3333333333333333E-2</v>
      </c>
      <c r="D71" s="106">
        <f t="shared" si="33"/>
        <v>-3.6363636363636362E-2</v>
      </c>
      <c r="E71" s="106">
        <f t="shared" si="33"/>
        <v>-2.7407407407407408E-2</v>
      </c>
      <c r="F71" s="106">
        <f t="shared" si="33"/>
        <v>-3.7222222222222219E-2</v>
      </c>
      <c r="G71" s="142">
        <f t="shared" si="33"/>
        <v>-1.4545454545454545E-3</v>
      </c>
      <c r="H71" s="142">
        <f t="shared" si="33"/>
        <v>-2.7246376811594204E-2</v>
      </c>
      <c r="I71" s="142">
        <f t="shared" si="33"/>
        <v>-9.870129870129871E-3</v>
      </c>
      <c r="J71" s="187">
        <f t="shared" si="33"/>
        <v>-2.2323809523809524E-2</v>
      </c>
      <c r="K71" s="187">
        <f t="shared" si="33"/>
        <v>-1.8494293585202676E-2</v>
      </c>
      <c r="L71" s="187">
        <f t="shared" si="33"/>
        <v>-4.052300320224847E-2</v>
      </c>
      <c r="M71" s="256">
        <f t="shared" si="33"/>
        <v>-5.0069390112724675E-2</v>
      </c>
      <c r="N71" s="256">
        <f t="shared" si="33"/>
        <v>-4.8020079779307986E-2</v>
      </c>
      <c r="O71" s="256">
        <f t="shared" si="33"/>
        <v>-4.0908301836923483E-2</v>
      </c>
      <c r="P71" s="296">
        <f t="shared" ref="P71" si="34">P28/P$8</f>
        <v>-3.4140465151174131E-2</v>
      </c>
    </row>
    <row r="72" spans="2:16">
      <c r="B72" s="71"/>
      <c r="C72" s="100"/>
      <c r="D72" s="100"/>
      <c r="E72" s="100"/>
      <c r="F72" s="100"/>
      <c r="G72" s="136"/>
      <c r="H72" s="136"/>
      <c r="I72" s="136"/>
      <c r="J72" s="181"/>
      <c r="K72" s="181"/>
      <c r="L72" s="181"/>
      <c r="M72" s="250"/>
      <c r="N72" s="250"/>
      <c r="O72" s="250"/>
      <c r="P72" s="93"/>
    </row>
    <row r="73" spans="2:16">
      <c r="B73" s="71" t="s">
        <v>12</v>
      </c>
      <c r="C73" s="105">
        <f t="shared" ref="C73:I73" si="35">C30/C$8</f>
        <v>0.13333333333333333</v>
      </c>
      <c r="D73" s="105">
        <f t="shared" si="35"/>
        <v>0.14545454545454545</v>
      </c>
      <c r="E73" s="105">
        <f t="shared" si="35"/>
        <v>0.10962962962962963</v>
      </c>
      <c r="F73" s="105">
        <f t="shared" si="35"/>
        <v>0.14888888888888888</v>
      </c>
      <c r="G73" s="141">
        <f t="shared" si="35"/>
        <v>5.8181818181818178E-3</v>
      </c>
      <c r="H73" s="141">
        <f t="shared" si="35"/>
        <v>0.10898550724637682</v>
      </c>
      <c r="I73" s="141">
        <f t="shared" si="35"/>
        <v>3.9480519480519484E-2</v>
      </c>
      <c r="J73" s="186">
        <f t="shared" ref="J73:O73" si="36">J69+J71</f>
        <v>8.9295238095238094E-2</v>
      </c>
      <c r="K73" s="186">
        <f t="shared" si="36"/>
        <v>7.3977174340810706E-2</v>
      </c>
      <c r="L73" s="186">
        <f t="shared" si="36"/>
        <v>0.16209201280899388</v>
      </c>
      <c r="M73" s="255">
        <f t="shared" si="36"/>
        <v>0.2002775604508987</v>
      </c>
      <c r="N73" s="255">
        <f t="shared" si="36"/>
        <v>0.19208031911723195</v>
      </c>
      <c r="O73" s="255">
        <f t="shared" si="36"/>
        <v>0.16363320734769393</v>
      </c>
      <c r="P73" s="295">
        <f t="shared" ref="P73" si="37">P69+P71</f>
        <v>0.13656186060469647</v>
      </c>
    </row>
    <row r="74" spans="2:16">
      <c r="B74" s="53"/>
      <c r="C74" s="104"/>
      <c r="D74" s="104"/>
      <c r="E74" s="104"/>
      <c r="F74" s="104"/>
      <c r="G74" s="135"/>
      <c r="H74" s="135"/>
      <c r="I74" s="135"/>
      <c r="J74" s="180"/>
      <c r="K74" s="180"/>
      <c r="L74" s="180"/>
      <c r="M74" s="249"/>
      <c r="N74" s="249"/>
      <c r="O74" s="249"/>
      <c r="P74" s="92"/>
    </row>
    <row r="90" spans="2:16" s="75" customFormat="1">
      <c r="B90" s="86"/>
      <c r="C90" s="97"/>
      <c r="D90" s="97"/>
      <c r="E90" s="97"/>
      <c r="F90" s="97"/>
      <c r="G90" s="145"/>
      <c r="H90" s="145"/>
      <c r="I90" s="145"/>
      <c r="J90" s="189"/>
      <c r="K90" s="189"/>
      <c r="L90" s="189"/>
      <c r="M90" s="258"/>
      <c r="N90" s="258"/>
      <c r="O90" s="258"/>
      <c r="P90" s="86"/>
    </row>
    <row r="91" spans="2:16" s="75" customFormat="1" ht="19">
      <c r="B91" s="353" t="s">
        <v>152</v>
      </c>
      <c r="C91" s="103" t="s">
        <v>147</v>
      </c>
      <c r="D91" s="103" t="s">
        <v>148</v>
      </c>
      <c r="E91" s="103" t="s">
        <v>149</v>
      </c>
      <c r="F91" s="103" t="s">
        <v>150</v>
      </c>
      <c r="G91" s="134" t="s">
        <v>171</v>
      </c>
      <c r="H91" s="134" t="s">
        <v>190</v>
      </c>
      <c r="I91" s="134" t="s">
        <v>192</v>
      </c>
      <c r="J91" s="179" t="s">
        <v>195</v>
      </c>
      <c r="K91" s="179" t="s">
        <v>196</v>
      </c>
      <c r="L91" s="179" t="s">
        <v>197</v>
      </c>
      <c r="M91" s="248" t="s">
        <v>279</v>
      </c>
      <c r="N91" s="248" t="s">
        <v>280</v>
      </c>
      <c r="O91" s="248" t="s">
        <v>147</v>
      </c>
      <c r="P91" s="70" t="s">
        <v>148</v>
      </c>
    </row>
    <row r="92" spans="2:16" s="75" customFormat="1">
      <c r="B92" s="354"/>
      <c r="C92" s="99"/>
      <c r="D92" s="99"/>
      <c r="E92" s="99"/>
      <c r="F92" s="99"/>
      <c r="G92" s="140"/>
      <c r="H92" s="140"/>
      <c r="I92" s="140"/>
      <c r="J92" s="185"/>
      <c r="K92" s="185"/>
      <c r="L92" s="185"/>
      <c r="M92" s="254"/>
      <c r="N92" s="254"/>
      <c r="O92" s="254"/>
      <c r="P92" s="72"/>
    </row>
    <row r="93" spans="2:16" s="75" customFormat="1">
      <c r="B93" s="355"/>
      <c r="C93" s="97"/>
      <c r="D93" s="97"/>
      <c r="E93" s="97"/>
      <c r="F93" s="97"/>
      <c r="G93" s="145"/>
      <c r="H93" s="145"/>
      <c r="I93" s="145"/>
      <c r="J93" s="189"/>
      <c r="K93" s="189"/>
      <c r="L93" s="189"/>
      <c r="M93" s="258"/>
      <c r="N93" s="258"/>
      <c r="O93" s="258"/>
      <c r="P93" s="86"/>
    </row>
    <row r="94" spans="2:16" s="75" customFormat="1">
      <c r="B94" s="355" t="s">
        <v>127</v>
      </c>
      <c r="C94" s="100">
        <v>0</v>
      </c>
      <c r="D94" s="100">
        <v>0</v>
      </c>
      <c r="E94" s="100">
        <f>'November-1'!C52</f>
        <v>10000</v>
      </c>
      <c r="F94" s="100">
        <f>'December-1'!C65</f>
        <v>12000</v>
      </c>
      <c r="G94" s="139">
        <f>'January-2'!C73</f>
        <v>4000</v>
      </c>
      <c r="H94" s="139">
        <f>'February-2'!C65</f>
        <v>9000</v>
      </c>
      <c r="I94" s="139">
        <f>'March-2'!C65</f>
        <v>8000</v>
      </c>
      <c r="J94" s="184">
        <f>'April-2'!C100</f>
        <v>14300</v>
      </c>
      <c r="K94" s="184">
        <f>'May-2'!C96</f>
        <v>16854.523809523809</v>
      </c>
      <c r="L94" s="184">
        <f>'June-2'!L36</f>
        <v>21562.417582417584</v>
      </c>
      <c r="M94" s="253">
        <f>'July-2'!C106</f>
        <v>27231.9391634981</v>
      </c>
      <c r="N94" s="253">
        <f>'August-2'!C108</f>
        <v>32060.37267080745</v>
      </c>
      <c r="O94" s="253">
        <f>'September-2'!C109</f>
        <v>42834</v>
      </c>
      <c r="P94" s="71">
        <f>'October-2'!C107</f>
        <v>62180.418636056718</v>
      </c>
    </row>
    <row r="95" spans="2:16" s="75" customFormat="1">
      <c r="B95" s="355"/>
      <c r="C95" s="100"/>
      <c r="D95" s="100"/>
      <c r="E95" s="100"/>
      <c r="F95" s="100"/>
      <c r="G95" s="139"/>
      <c r="H95" s="139"/>
      <c r="I95" s="139"/>
      <c r="J95" s="184"/>
      <c r="K95" s="184"/>
      <c r="L95" s="184"/>
      <c r="M95" s="253"/>
      <c r="N95" s="253"/>
      <c r="O95" s="253"/>
      <c r="P95" s="71"/>
    </row>
    <row r="96" spans="2:16" s="75" customFormat="1">
      <c r="B96" s="355" t="s">
        <v>153</v>
      </c>
      <c r="C96" s="100">
        <v>0</v>
      </c>
      <c r="D96" s="100">
        <f>'October-1'!C43</f>
        <v>5000</v>
      </c>
      <c r="E96" s="100">
        <f>'November-1'!C54</f>
        <v>15000</v>
      </c>
      <c r="F96" s="100">
        <f>'December-1'!C67</f>
        <v>15000</v>
      </c>
      <c r="G96" s="139">
        <f>'January-2'!C75</f>
        <v>12500</v>
      </c>
      <c r="H96" s="139">
        <f>'February-2'!C67</f>
        <v>15000</v>
      </c>
      <c r="I96" s="139">
        <f>'March-2'!C67</f>
        <v>17500</v>
      </c>
      <c r="J96" s="184">
        <f>'April-2'!C101</f>
        <v>22500</v>
      </c>
      <c r="K96" s="184">
        <f>'May-2'!C97</f>
        <v>27500</v>
      </c>
      <c r="L96" s="184">
        <f>'June-2'!L48</f>
        <v>37500</v>
      </c>
      <c r="M96" s="253">
        <f>'July-2'!C107</f>
        <v>42500</v>
      </c>
      <c r="N96" s="253">
        <f>'August-2'!C109</f>
        <v>30000</v>
      </c>
      <c r="O96" s="253">
        <f>'September-2'!C110</f>
        <v>57500</v>
      </c>
      <c r="P96" s="71">
        <f>'October-2'!C108</f>
        <v>75000</v>
      </c>
    </row>
    <row r="97" spans="2:16" s="75" customFormat="1">
      <c r="B97" s="355"/>
      <c r="C97" s="100"/>
      <c r="D97" s="100"/>
      <c r="E97" s="100"/>
      <c r="F97" s="100"/>
      <c r="G97" s="139"/>
      <c r="H97" s="139"/>
      <c r="I97" s="139"/>
      <c r="J97" s="184"/>
      <c r="K97" s="184"/>
      <c r="L97" s="184"/>
      <c r="M97" s="253"/>
      <c r="N97" s="253"/>
      <c r="O97" s="253"/>
      <c r="P97" s="71"/>
    </row>
    <row r="98" spans="2:16" s="75" customFormat="1">
      <c r="B98" s="355" t="s">
        <v>154</v>
      </c>
      <c r="C98" s="100">
        <v>0</v>
      </c>
      <c r="D98" s="100">
        <f>-'October-1'!E45</f>
        <v>-4000</v>
      </c>
      <c r="E98" s="100">
        <f>-'November-1'!E56</f>
        <v>-15000</v>
      </c>
      <c r="F98" s="100">
        <f>-'December-1'!E70</f>
        <v>-14000</v>
      </c>
      <c r="G98" s="139">
        <f>-'January-2'!E78</f>
        <v>-8000</v>
      </c>
      <c r="H98" s="139">
        <f>-'February-2'!E70</f>
        <v>-15000</v>
      </c>
      <c r="I98" s="139">
        <f>-'March-2'!E70</f>
        <v>-13500</v>
      </c>
      <c r="J98" s="184">
        <f>-'April-2'!E101</f>
        <v>-19400</v>
      </c>
      <c r="K98" s="184">
        <f>-'May-2'!E97</f>
        <v>-20160</v>
      </c>
      <c r="L98" s="184">
        <f>-'June-2'!L54</f>
        <v>-25480</v>
      </c>
      <c r="M98" s="253">
        <f>-'July-2'!E107</f>
        <v>-31560</v>
      </c>
      <c r="N98" s="253">
        <f>-'August-2'!F109</f>
        <v>-25760</v>
      </c>
      <c r="O98" s="253">
        <f>-'September-2'!E110</f>
        <v>-40000</v>
      </c>
      <c r="P98" s="71">
        <f>-'October-2'!G108</f>
        <v>-59240</v>
      </c>
    </row>
    <row r="99" spans="2:16" s="75" customFormat="1">
      <c r="B99" s="355"/>
      <c r="C99" s="99"/>
      <c r="D99" s="99"/>
      <c r="E99" s="99"/>
      <c r="F99" s="99"/>
      <c r="G99" s="140"/>
      <c r="H99" s="140"/>
      <c r="I99" s="140"/>
      <c r="J99" s="185"/>
      <c r="K99" s="185"/>
      <c r="L99" s="185"/>
      <c r="M99" s="254"/>
      <c r="N99" s="254"/>
      <c r="O99" s="254"/>
      <c r="P99" s="72"/>
    </row>
    <row r="100" spans="2:16" s="75" customFormat="1">
      <c r="B100" s="355"/>
      <c r="C100" s="100"/>
      <c r="D100" s="100"/>
      <c r="E100" s="100"/>
      <c r="F100" s="100"/>
      <c r="G100" s="139"/>
      <c r="H100" s="139"/>
      <c r="I100" s="139"/>
      <c r="J100" s="184"/>
      <c r="K100" s="184"/>
      <c r="L100" s="184"/>
      <c r="M100" s="253"/>
      <c r="N100" s="253"/>
      <c r="O100" s="253"/>
      <c r="P100" s="71"/>
    </row>
    <row r="101" spans="2:16" s="75" customFormat="1">
      <c r="B101" s="356" t="s">
        <v>155</v>
      </c>
      <c r="C101" s="101">
        <f>C94+C96+C98</f>
        <v>0</v>
      </c>
      <c r="D101" s="101">
        <f t="shared" ref="D101:O101" si="38">D94+D96+D98</f>
        <v>1000</v>
      </c>
      <c r="E101" s="101">
        <f t="shared" si="38"/>
        <v>10000</v>
      </c>
      <c r="F101" s="101">
        <f t="shared" si="38"/>
        <v>13000</v>
      </c>
      <c r="G101" s="147">
        <f t="shared" si="38"/>
        <v>8500</v>
      </c>
      <c r="H101" s="147">
        <f t="shared" si="38"/>
        <v>9000</v>
      </c>
      <c r="I101" s="147">
        <f t="shared" si="38"/>
        <v>12000</v>
      </c>
      <c r="J101" s="191">
        <f t="shared" si="38"/>
        <v>17400</v>
      </c>
      <c r="K101" s="191">
        <f t="shared" si="38"/>
        <v>24194.523809523809</v>
      </c>
      <c r="L101" s="191">
        <f t="shared" si="38"/>
        <v>33582.417582417584</v>
      </c>
      <c r="M101" s="260">
        <f t="shared" si="38"/>
        <v>38171.9391634981</v>
      </c>
      <c r="N101" s="260">
        <f t="shared" si="38"/>
        <v>36300.372670807454</v>
      </c>
      <c r="O101" s="260">
        <f t="shared" si="38"/>
        <v>60334</v>
      </c>
      <c r="P101" s="74">
        <f t="shared" ref="P101" si="39">P94+P96+P98</f>
        <v>77940.418636056711</v>
      </c>
    </row>
    <row r="102" spans="2:16" s="75" customFormat="1">
      <c r="B102" s="72"/>
      <c r="C102" s="99"/>
      <c r="D102" s="99"/>
      <c r="E102" s="99"/>
      <c r="F102" s="99"/>
      <c r="G102" s="140"/>
      <c r="H102" s="140"/>
      <c r="I102" s="140"/>
      <c r="J102" s="185"/>
      <c r="K102" s="185"/>
      <c r="L102" s="185"/>
      <c r="M102" s="254"/>
      <c r="N102" s="254"/>
      <c r="O102" s="254"/>
      <c r="P102" s="72"/>
    </row>
    <row r="103" spans="2:16">
      <c r="B103" s="50"/>
      <c r="C103" s="102"/>
      <c r="D103" s="102"/>
      <c r="E103" s="102"/>
      <c r="F103" s="102"/>
      <c r="G103" s="133"/>
      <c r="H103" s="133"/>
      <c r="I103" s="133"/>
      <c r="J103" s="178"/>
      <c r="K103" s="178"/>
      <c r="L103" s="178"/>
      <c r="M103" s="247"/>
      <c r="N103" s="247"/>
      <c r="O103" s="247"/>
      <c r="P103" s="90"/>
    </row>
    <row r="104" spans="2:16">
      <c r="B104" s="71" t="s">
        <v>144</v>
      </c>
      <c r="C104" s="100">
        <f>C22</f>
        <v>1000</v>
      </c>
      <c r="D104" s="100">
        <f t="shared" ref="D104:L104" si="40">D22</f>
        <v>2000</v>
      </c>
      <c r="E104" s="100">
        <f t="shared" si="40"/>
        <v>3700</v>
      </c>
      <c r="F104" s="100">
        <f t="shared" si="40"/>
        <v>6700</v>
      </c>
      <c r="G104" s="139">
        <f t="shared" si="40"/>
        <v>200</v>
      </c>
      <c r="H104" s="139">
        <f t="shared" si="40"/>
        <v>4700</v>
      </c>
      <c r="I104" s="139">
        <f t="shared" si="40"/>
        <v>1900</v>
      </c>
      <c r="J104" s="184">
        <f t="shared" si="40"/>
        <v>6100</v>
      </c>
      <c r="K104" s="184">
        <f t="shared" si="40"/>
        <v>5834.5238095238092</v>
      </c>
      <c r="L104" s="184">
        <f t="shared" si="40"/>
        <v>16347.893772893767</v>
      </c>
      <c r="M104" s="253">
        <f>'July-2'!C34</f>
        <v>25149.521581080524</v>
      </c>
      <c r="N104" s="253">
        <f>'August-2'!C34</f>
        <v>20408.433507309353</v>
      </c>
      <c r="O104" s="253">
        <f>'September-2'!C35</f>
        <v>24273.627329192546</v>
      </c>
      <c r="P104" s="71">
        <f>'October-2'!C35</f>
        <v>31966.418636056711</v>
      </c>
    </row>
    <row r="105" spans="2:16">
      <c r="B105" s="130"/>
      <c r="C105" s="132"/>
      <c r="D105" s="132"/>
      <c r="E105" s="132"/>
      <c r="F105" s="132"/>
      <c r="G105" s="137"/>
      <c r="H105" s="137"/>
      <c r="I105" s="137"/>
      <c r="J105" s="182"/>
      <c r="K105" s="182"/>
      <c r="L105" s="182"/>
      <c r="M105" s="251"/>
      <c r="N105" s="251"/>
      <c r="O105" s="251"/>
      <c r="P105" s="91"/>
    </row>
    <row r="106" spans="2:16" s="1" customFormat="1">
      <c r="B106" s="71" t="s">
        <v>303</v>
      </c>
      <c r="C106" s="100">
        <v>0</v>
      </c>
      <c r="D106" s="100">
        <v>0</v>
      </c>
      <c r="E106" s="100">
        <v>0</v>
      </c>
      <c r="F106" s="100">
        <v>0</v>
      </c>
      <c r="G106" s="139">
        <v>0</v>
      </c>
      <c r="H106" s="139">
        <v>0</v>
      </c>
      <c r="I106" s="139">
        <v>0</v>
      </c>
      <c r="J106" s="181">
        <f>'April-2'!D116</f>
        <v>1000</v>
      </c>
      <c r="K106" s="181">
        <f>'May-2'!D112</f>
        <v>1000</v>
      </c>
      <c r="L106" s="181">
        <f>'June-2'!D112</f>
        <v>1000</v>
      </c>
      <c r="M106" s="250">
        <f>'July-2'!K14</f>
        <v>1000</v>
      </c>
      <c r="N106" s="250">
        <f>'August-2'!K14</f>
        <v>1000</v>
      </c>
      <c r="O106" s="250">
        <f>'September-2'!L14</f>
        <v>1000</v>
      </c>
      <c r="P106" s="93">
        <f>'October-2'!K12+'October-2'!K13</f>
        <v>6500</v>
      </c>
    </row>
    <row r="107" spans="2:16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  <c r="M107" s="250"/>
      <c r="N107" s="250"/>
      <c r="O107" s="250"/>
      <c r="P107" s="93"/>
    </row>
    <row r="108" spans="2:16" s="1" customFormat="1" ht="19">
      <c r="B108" s="131" t="s">
        <v>29</v>
      </c>
      <c r="C108" s="100">
        <f>C104+C106</f>
        <v>1000</v>
      </c>
      <c r="D108" s="100">
        <f t="shared" ref="D108:O108" si="41">D104+D106</f>
        <v>2000</v>
      </c>
      <c r="E108" s="100">
        <f t="shared" si="41"/>
        <v>3700</v>
      </c>
      <c r="F108" s="100">
        <f t="shared" si="41"/>
        <v>6700</v>
      </c>
      <c r="G108" s="139">
        <f t="shared" si="41"/>
        <v>200</v>
      </c>
      <c r="H108" s="139">
        <f t="shared" si="41"/>
        <v>4700</v>
      </c>
      <c r="I108" s="139">
        <f t="shared" si="41"/>
        <v>1900</v>
      </c>
      <c r="J108" s="184">
        <f t="shared" si="41"/>
        <v>7100</v>
      </c>
      <c r="K108" s="184">
        <f t="shared" si="41"/>
        <v>6834.5238095238092</v>
      </c>
      <c r="L108" s="184">
        <f t="shared" si="41"/>
        <v>17347.893772893767</v>
      </c>
      <c r="M108" s="253">
        <f t="shared" si="41"/>
        <v>26149.521581080524</v>
      </c>
      <c r="N108" s="253">
        <f t="shared" si="41"/>
        <v>21408.433507309353</v>
      </c>
      <c r="O108" s="253">
        <f t="shared" si="41"/>
        <v>25273.627329192546</v>
      </c>
      <c r="P108" s="71">
        <f t="shared" ref="P108" si="42">P104+P106</f>
        <v>38466.418636056711</v>
      </c>
    </row>
    <row r="109" spans="2:16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  <c r="M109" s="250"/>
      <c r="N109" s="250"/>
      <c r="O109" s="250"/>
      <c r="P109" s="93"/>
    </row>
    <row r="110" spans="2:16" s="1" customFormat="1">
      <c r="B110" s="71" t="s">
        <v>274</v>
      </c>
      <c r="C110" s="100">
        <v>0</v>
      </c>
      <c r="D110" s="100">
        <f>-(D101-C101)</f>
        <v>-1000</v>
      </c>
      <c r="E110" s="100">
        <f t="shared" ref="E110:P110" si="43">-(E101-D101)</f>
        <v>-9000</v>
      </c>
      <c r="F110" s="100">
        <f t="shared" si="43"/>
        <v>-3000</v>
      </c>
      <c r="G110" s="139">
        <f t="shared" si="43"/>
        <v>4500</v>
      </c>
      <c r="H110" s="139">
        <f t="shared" si="43"/>
        <v>-500</v>
      </c>
      <c r="I110" s="139">
        <f t="shared" si="43"/>
        <v>-3000</v>
      </c>
      <c r="J110" s="184">
        <f t="shared" si="43"/>
        <v>-5400</v>
      </c>
      <c r="K110" s="184">
        <f t="shared" si="43"/>
        <v>-6794.5238095238092</v>
      </c>
      <c r="L110" s="184">
        <f t="shared" si="43"/>
        <v>-9387.8937728937744</v>
      </c>
      <c r="M110" s="253">
        <f t="shared" si="43"/>
        <v>-4589.5215810805166</v>
      </c>
      <c r="N110" s="253">
        <f t="shared" si="43"/>
        <v>1871.5664926906466</v>
      </c>
      <c r="O110" s="253">
        <f t="shared" si="43"/>
        <v>-24033.627329192546</v>
      </c>
      <c r="P110" s="71">
        <f t="shared" si="43"/>
        <v>-17606.418636056711</v>
      </c>
    </row>
    <row r="111" spans="2:16" s="1" customFormat="1">
      <c r="B111" s="71"/>
      <c r="C111" s="100"/>
      <c r="D111" s="100"/>
      <c r="E111" s="100"/>
      <c r="F111" s="100"/>
      <c r="G111" s="136"/>
      <c r="H111" s="136"/>
      <c r="I111" s="136"/>
      <c r="J111" s="181"/>
      <c r="K111" s="181"/>
      <c r="L111" s="181"/>
      <c r="M111" s="250"/>
      <c r="N111" s="250"/>
      <c r="O111" s="250"/>
      <c r="P111" s="93"/>
    </row>
    <row r="112" spans="2:16" s="1" customFormat="1" ht="19">
      <c r="B112" s="131" t="s">
        <v>304</v>
      </c>
      <c r="C112" s="100">
        <f>C108+C110</f>
        <v>1000</v>
      </c>
      <c r="D112" s="100">
        <f t="shared" ref="D112:O112" si="44">D108+D110</f>
        <v>1000</v>
      </c>
      <c r="E112" s="100">
        <f t="shared" si="44"/>
        <v>-5300</v>
      </c>
      <c r="F112" s="100">
        <f t="shared" si="44"/>
        <v>3700</v>
      </c>
      <c r="G112" s="139">
        <f t="shared" si="44"/>
        <v>4700</v>
      </c>
      <c r="H112" s="139">
        <f t="shared" si="44"/>
        <v>4200</v>
      </c>
      <c r="I112" s="139">
        <f t="shared" si="44"/>
        <v>-1100</v>
      </c>
      <c r="J112" s="184">
        <f t="shared" si="44"/>
        <v>1700</v>
      </c>
      <c r="K112" s="184">
        <f t="shared" si="44"/>
        <v>40</v>
      </c>
      <c r="L112" s="184">
        <f t="shared" si="44"/>
        <v>7959.9999999999927</v>
      </c>
      <c r="M112" s="253">
        <f t="shared" si="44"/>
        <v>21560.000000000007</v>
      </c>
      <c r="N112" s="253">
        <f t="shared" si="44"/>
        <v>23280</v>
      </c>
      <c r="O112" s="253">
        <f t="shared" si="44"/>
        <v>1240</v>
      </c>
      <c r="P112" s="71">
        <f t="shared" ref="P112" si="45">P108+P110</f>
        <v>20860</v>
      </c>
    </row>
    <row r="113" spans="2:16" s="1" customFormat="1">
      <c r="B113" s="72"/>
      <c r="C113" s="99"/>
      <c r="D113" s="99"/>
      <c r="E113" s="99"/>
      <c r="F113" s="99"/>
      <c r="G113" s="138"/>
      <c r="H113" s="138"/>
      <c r="I113" s="138"/>
      <c r="J113" s="183"/>
      <c r="K113" s="183"/>
      <c r="L113" s="183"/>
      <c r="M113" s="252"/>
      <c r="N113" s="252"/>
      <c r="O113" s="252"/>
      <c r="P113" s="94"/>
    </row>
    <row r="114" spans="2:16">
      <c r="B114" s="86"/>
      <c r="C114" s="97"/>
      <c r="D114" s="97"/>
      <c r="E114" s="97"/>
      <c r="F114" s="97"/>
      <c r="G114" s="241"/>
      <c r="H114" s="241"/>
      <c r="I114" s="241"/>
      <c r="J114" s="243"/>
      <c r="K114" s="243"/>
      <c r="L114" s="243"/>
      <c r="M114" s="261"/>
      <c r="N114" s="261"/>
      <c r="O114" s="261"/>
      <c r="P114" s="235"/>
    </row>
    <row r="115" spans="2:16">
      <c r="B115" s="83" t="s">
        <v>305</v>
      </c>
      <c r="C115" s="100"/>
      <c r="D115" s="100"/>
      <c r="E115" s="100"/>
      <c r="F115" s="100"/>
      <c r="G115" s="136"/>
      <c r="H115" s="136"/>
      <c r="I115" s="136"/>
      <c r="J115" s="181"/>
      <c r="K115" s="181"/>
      <c r="L115" s="181"/>
      <c r="M115" s="250"/>
      <c r="N115" s="250"/>
      <c r="O115" s="250"/>
      <c r="P115" s="93"/>
    </row>
    <row r="116" spans="2:16">
      <c r="B116" s="71"/>
      <c r="C116" s="100"/>
      <c r="D116" s="100"/>
      <c r="E116" s="100"/>
      <c r="F116" s="100"/>
      <c r="G116" s="136"/>
      <c r="H116" s="136"/>
      <c r="I116" s="136"/>
      <c r="J116" s="181"/>
      <c r="K116" s="181"/>
      <c r="L116" s="181"/>
      <c r="M116" s="250"/>
      <c r="N116" s="250"/>
      <c r="O116" s="250"/>
      <c r="P116" s="93"/>
    </row>
    <row r="117" spans="2:16">
      <c r="B117" s="71" t="s">
        <v>306</v>
      </c>
      <c r="C117" s="238">
        <v>0</v>
      </c>
      <c r="D117" s="238">
        <v>0</v>
      </c>
      <c r="E117" s="238">
        <v>0</v>
      </c>
      <c r="F117" s="238">
        <v>0</v>
      </c>
      <c r="G117" s="136">
        <v>0</v>
      </c>
      <c r="H117" s="136">
        <v>0</v>
      </c>
      <c r="I117" s="136">
        <v>0</v>
      </c>
      <c r="J117" s="181">
        <v>0</v>
      </c>
      <c r="K117" s="181">
        <v>0</v>
      </c>
      <c r="L117" s="181">
        <v>0</v>
      </c>
      <c r="M117" s="250">
        <v>0</v>
      </c>
      <c r="N117" s="250">
        <f>'August-2'!C110</f>
        <v>18000</v>
      </c>
      <c r="O117" s="250">
        <f>'September-2'!C111</f>
        <v>15000</v>
      </c>
      <c r="P117" s="93">
        <f>'October-2'!C109</f>
        <v>12000</v>
      </c>
    </row>
    <row r="118" spans="2:16">
      <c r="B118" s="71"/>
      <c r="C118" s="100"/>
      <c r="D118" s="100"/>
      <c r="E118" s="100"/>
      <c r="F118" s="100"/>
      <c r="G118" s="136"/>
      <c r="H118" s="136"/>
      <c r="I118" s="136"/>
      <c r="J118" s="181"/>
      <c r="K118" s="181"/>
      <c r="L118" s="181"/>
      <c r="M118" s="250"/>
      <c r="N118" s="250"/>
      <c r="O118" s="250"/>
      <c r="P118" s="93"/>
    </row>
    <row r="119" spans="2:16">
      <c r="B119" s="83" t="s">
        <v>309</v>
      </c>
      <c r="C119" s="100"/>
      <c r="D119" s="100"/>
      <c r="E119" s="100"/>
      <c r="F119" s="100"/>
      <c r="G119" s="136"/>
      <c r="H119" s="136"/>
      <c r="I119" s="136"/>
      <c r="J119" s="181"/>
      <c r="K119" s="181"/>
      <c r="L119" s="181"/>
      <c r="M119" s="250"/>
      <c r="N119" s="250"/>
      <c r="O119" s="250"/>
      <c r="P119" s="93"/>
    </row>
    <row r="120" spans="2:16">
      <c r="B120" s="71"/>
      <c r="C120" s="100"/>
      <c r="D120" s="100"/>
      <c r="E120" s="100"/>
      <c r="F120" s="100"/>
      <c r="G120" s="136"/>
      <c r="H120" s="136"/>
      <c r="I120" s="136"/>
      <c r="J120" s="181"/>
      <c r="K120" s="181"/>
      <c r="L120" s="181"/>
      <c r="M120" s="250"/>
      <c r="N120" s="250"/>
      <c r="O120" s="250"/>
      <c r="P120" s="93"/>
    </row>
    <row r="121" spans="2:16">
      <c r="B121" s="71" t="s">
        <v>135</v>
      </c>
      <c r="C121" s="238">
        <v>0</v>
      </c>
      <c r="D121" s="238">
        <v>0</v>
      </c>
      <c r="E121" s="100">
        <v>0</v>
      </c>
      <c r="F121" s="100">
        <f>-'December-1'!E69</f>
        <v>-2000</v>
      </c>
      <c r="G121" s="136">
        <f>-'January-2'!E77</f>
        <v>0</v>
      </c>
      <c r="H121" s="136">
        <f>-'February-2'!E69</f>
        <v>0</v>
      </c>
      <c r="I121" s="136">
        <f>-'March-2'!E69</f>
        <v>0</v>
      </c>
      <c r="J121" s="181">
        <f>-'April-2'!E100</f>
        <v>0</v>
      </c>
      <c r="K121" s="181">
        <f>-'May-2'!E96</f>
        <v>0</v>
      </c>
      <c r="L121" s="181">
        <f>-'June-2'!E96</f>
        <v>0</v>
      </c>
      <c r="M121" s="250">
        <f>-'July-2'!E106</f>
        <v>0</v>
      </c>
      <c r="N121" s="250">
        <f>-'August-2'!F108</f>
        <v>0</v>
      </c>
      <c r="O121" s="250">
        <f>-'September-2'!E109</f>
        <v>0</v>
      </c>
      <c r="P121" s="93">
        <f>-'October-2'!G107</f>
        <v>0</v>
      </c>
    </row>
    <row r="122" spans="2:16">
      <c r="B122" s="71" t="s">
        <v>145</v>
      </c>
      <c r="C122" s="100">
        <f>-'September-1'!E39*TIS</f>
        <v>-200</v>
      </c>
      <c r="D122" s="100">
        <f>-'October-1'!E41*TIS</f>
        <v>-600</v>
      </c>
      <c r="E122" s="100">
        <f>-'November-1'!E52*TIS</f>
        <v>-1340</v>
      </c>
      <c r="F122" s="100">
        <f>-'December-1'!E71</f>
        <v>-2680</v>
      </c>
      <c r="G122" s="136">
        <f>-'January-2'!E79</f>
        <v>-40</v>
      </c>
      <c r="H122" s="136">
        <f>-'February-2'!E71</f>
        <v>-980</v>
      </c>
      <c r="I122" s="136">
        <f>-'March-2'!E71</f>
        <v>-1360</v>
      </c>
      <c r="J122" s="181">
        <f>-'April-2'!E102</f>
        <v>-2532</v>
      </c>
      <c r="K122" s="181">
        <f>-'May-2'!E98</f>
        <v>-3650.9047619047619</v>
      </c>
      <c r="L122" s="181">
        <f>-'June-2'!E98</f>
        <v>-6872.4835164835149</v>
      </c>
      <c r="M122" s="250">
        <f>-'July-2'!E108</f>
        <v>-11854.38783269962</v>
      </c>
      <c r="N122" s="250">
        <f>-'August-2'!F110</f>
        <v>-15888.074534161491</v>
      </c>
      <c r="O122" s="250">
        <f>-'September-2'!E111</f>
        <v>-20694.8</v>
      </c>
      <c r="P122" s="93">
        <f>-'October-2'!G109</f>
        <v>-26840.083727211342</v>
      </c>
    </row>
    <row r="123" spans="2:16">
      <c r="B123" s="71"/>
      <c r="C123" s="99"/>
      <c r="D123" s="99"/>
      <c r="E123" s="99"/>
      <c r="F123" s="99"/>
      <c r="G123" s="138"/>
      <c r="H123" s="138"/>
      <c r="I123" s="138"/>
      <c r="J123" s="183"/>
      <c r="K123" s="183"/>
      <c r="L123" s="183"/>
      <c r="M123" s="252"/>
      <c r="N123" s="252"/>
      <c r="O123" s="252"/>
      <c r="P123" s="94"/>
    </row>
    <row r="124" spans="2:16">
      <c r="B124" s="71"/>
      <c r="C124" s="100"/>
      <c r="D124" s="100"/>
      <c r="E124" s="100"/>
      <c r="F124" s="100"/>
      <c r="G124" s="136"/>
      <c r="H124" s="136"/>
      <c r="I124" s="136"/>
      <c r="J124" s="181"/>
      <c r="K124" s="181"/>
      <c r="L124" s="181"/>
      <c r="M124" s="250"/>
      <c r="N124" s="250"/>
      <c r="O124" s="250"/>
      <c r="P124" s="93"/>
    </row>
    <row r="125" spans="2:16" s="234" customFormat="1">
      <c r="B125" s="74" t="s">
        <v>307</v>
      </c>
      <c r="C125" s="239">
        <f t="shared" ref="C125:M125" si="46">C117+C121+C122</f>
        <v>-200</v>
      </c>
      <c r="D125" s="239">
        <f t="shared" si="46"/>
        <v>-600</v>
      </c>
      <c r="E125" s="239">
        <f t="shared" si="46"/>
        <v>-1340</v>
      </c>
      <c r="F125" s="239">
        <f t="shared" si="46"/>
        <v>-4680</v>
      </c>
      <c r="G125" s="242">
        <f t="shared" si="46"/>
        <v>-40</v>
      </c>
      <c r="H125" s="242">
        <f t="shared" si="46"/>
        <v>-980</v>
      </c>
      <c r="I125" s="242">
        <f t="shared" si="46"/>
        <v>-1360</v>
      </c>
      <c r="J125" s="244">
        <f t="shared" si="46"/>
        <v>-2532</v>
      </c>
      <c r="K125" s="244">
        <f t="shared" si="46"/>
        <v>-3650.9047619047619</v>
      </c>
      <c r="L125" s="244">
        <f t="shared" si="46"/>
        <v>-6872.4835164835149</v>
      </c>
      <c r="M125" s="262">
        <f t="shared" si="46"/>
        <v>-11854.38783269962</v>
      </c>
      <c r="N125" s="262">
        <f>N117+N121+N122</f>
        <v>2111.9254658385089</v>
      </c>
      <c r="O125" s="262">
        <f>O117+O121+O122</f>
        <v>-5694.7999999999993</v>
      </c>
      <c r="P125" s="236">
        <f>P117+P121+P122</f>
        <v>-14840.083727211342</v>
      </c>
    </row>
    <row r="126" spans="2:16">
      <c r="B126" s="72"/>
      <c r="C126" s="240"/>
      <c r="D126" s="240"/>
      <c r="E126" s="240"/>
      <c r="F126" s="240"/>
      <c r="G126" s="138"/>
      <c r="H126" s="138"/>
      <c r="I126" s="138"/>
      <c r="J126" s="183"/>
      <c r="K126" s="183"/>
      <c r="L126" s="183"/>
      <c r="M126" s="252"/>
      <c r="N126" s="252"/>
      <c r="O126" s="252"/>
      <c r="P126" s="94"/>
    </row>
    <row r="127" spans="2:16">
      <c r="B127" s="71"/>
      <c r="C127" s="238"/>
      <c r="D127" s="238"/>
      <c r="E127" s="238"/>
      <c r="F127" s="238"/>
      <c r="G127" s="136"/>
      <c r="H127" s="136"/>
      <c r="I127" s="136"/>
      <c r="J127" s="181"/>
      <c r="K127" s="181"/>
      <c r="L127" s="181"/>
      <c r="M127" s="250"/>
      <c r="N127" s="250"/>
      <c r="O127" s="250"/>
      <c r="P127" s="93"/>
    </row>
    <row r="128" spans="2:16" ht="19">
      <c r="B128" s="80" t="s">
        <v>152</v>
      </c>
      <c r="C128" s="239">
        <f t="shared" ref="C128:M128" si="47">C101+C125</f>
        <v>-200</v>
      </c>
      <c r="D128" s="239">
        <f t="shared" si="47"/>
        <v>400</v>
      </c>
      <c r="E128" s="239">
        <f t="shared" si="47"/>
        <v>8660</v>
      </c>
      <c r="F128" s="239">
        <f t="shared" si="47"/>
        <v>8320</v>
      </c>
      <c r="G128" s="242">
        <f t="shared" si="47"/>
        <v>8460</v>
      </c>
      <c r="H128" s="242">
        <f t="shared" si="47"/>
        <v>8020</v>
      </c>
      <c r="I128" s="242">
        <f t="shared" si="47"/>
        <v>10640</v>
      </c>
      <c r="J128" s="244">
        <f t="shared" si="47"/>
        <v>14868</v>
      </c>
      <c r="K128" s="244">
        <f t="shared" si="47"/>
        <v>20543.619047619046</v>
      </c>
      <c r="L128" s="244">
        <f t="shared" si="47"/>
        <v>26709.934065934067</v>
      </c>
      <c r="M128" s="262">
        <f t="shared" si="47"/>
        <v>26317.55133079848</v>
      </c>
      <c r="N128" s="262">
        <f>N101+N125</f>
        <v>38412.298136645964</v>
      </c>
      <c r="O128" s="262">
        <f>O101+O125</f>
        <v>54639.199999999997</v>
      </c>
      <c r="P128" s="236">
        <f>P101+P125</f>
        <v>63100.334908845369</v>
      </c>
    </row>
    <row r="129" spans="2:16">
      <c r="B129" s="72"/>
      <c r="C129" s="99"/>
      <c r="D129" s="99"/>
      <c r="E129" s="99"/>
      <c r="F129" s="99"/>
      <c r="G129" s="138"/>
      <c r="H129" s="138"/>
      <c r="I129" s="138"/>
      <c r="J129" s="183"/>
      <c r="K129" s="183"/>
      <c r="L129" s="183"/>
      <c r="M129" s="252"/>
      <c r="N129" s="252"/>
      <c r="O129" s="252"/>
      <c r="P129" s="94"/>
    </row>
    <row r="130" spans="2:16">
      <c r="B130" s="50"/>
      <c r="C130" s="102"/>
      <c r="D130" s="102"/>
      <c r="E130" s="102"/>
      <c r="F130" s="102"/>
      <c r="G130" s="133"/>
      <c r="H130" s="133"/>
      <c r="I130" s="133"/>
      <c r="J130" s="178"/>
      <c r="K130" s="178"/>
      <c r="L130" s="178"/>
      <c r="M130" s="247"/>
      <c r="N130" s="247"/>
      <c r="O130" s="247"/>
      <c r="P130" s="90"/>
    </row>
    <row r="131" spans="2:16">
      <c r="B131" s="130" t="s">
        <v>308</v>
      </c>
      <c r="C131" s="238">
        <f>C128</f>
        <v>-200</v>
      </c>
      <c r="D131" s="238">
        <f t="shared" ref="D131:M131" si="48">D128-C128</f>
        <v>600</v>
      </c>
      <c r="E131" s="238">
        <f t="shared" si="48"/>
        <v>8260</v>
      </c>
      <c r="F131" s="238">
        <f t="shared" si="48"/>
        <v>-340</v>
      </c>
      <c r="G131" s="136">
        <f t="shared" si="48"/>
        <v>140</v>
      </c>
      <c r="H131" s="136">
        <f t="shared" si="48"/>
        <v>-440</v>
      </c>
      <c r="I131" s="136">
        <f t="shared" si="48"/>
        <v>2620</v>
      </c>
      <c r="J131" s="181">
        <f t="shared" si="48"/>
        <v>4228</v>
      </c>
      <c r="K131" s="181">
        <f t="shared" si="48"/>
        <v>5675.6190476190459</v>
      </c>
      <c r="L131" s="181">
        <f t="shared" si="48"/>
        <v>6166.315018315021</v>
      </c>
      <c r="M131" s="250">
        <f t="shared" si="48"/>
        <v>-392.3827351355867</v>
      </c>
      <c r="N131" s="250">
        <f>N128-M128</f>
        <v>12094.746805847484</v>
      </c>
      <c r="O131" s="250">
        <f>O128-N128</f>
        <v>16226.901863354033</v>
      </c>
      <c r="P131" s="93">
        <f>P128-O128</f>
        <v>8461.1349088453717</v>
      </c>
    </row>
    <row r="132" spans="2:16">
      <c r="B132" s="53"/>
      <c r="C132" s="104"/>
      <c r="D132" s="104"/>
      <c r="E132" s="104"/>
      <c r="F132" s="104"/>
      <c r="G132" s="135"/>
      <c r="H132" s="135"/>
      <c r="I132" s="135"/>
      <c r="J132" s="180"/>
      <c r="K132" s="180"/>
      <c r="L132" s="180"/>
      <c r="M132" s="249"/>
      <c r="N132" s="249"/>
      <c r="O132" s="249"/>
      <c r="P132" s="92"/>
    </row>
    <row r="134" spans="2:16" ht="16" customHeight="1"/>
    <row r="135" spans="2:16" ht="16" customHeight="1">
      <c r="B135" s="86"/>
      <c r="C135" s="86"/>
      <c r="D135" s="86"/>
      <c r="E135" s="86"/>
    </row>
    <row r="136" spans="2:16" ht="16" customHeight="1">
      <c r="B136" s="80" t="s">
        <v>323</v>
      </c>
      <c r="C136" s="83" t="str">
        <f>N91</f>
        <v>August</v>
      </c>
      <c r="D136" s="83" t="str">
        <f>O91</f>
        <v>September</v>
      </c>
      <c r="E136" s="83" t="str">
        <f>P91</f>
        <v>October</v>
      </c>
    </row>
    <row r="137" spans="2:16" ht="16" customHeight="1">
      <c r="B137" s="72"/>
      <c r="C137" s="72"/>
      <c r="D137" s="72"/>
      <c r="E137" s="72"/>
    </row>
    <row r="138" spans="2:16" ht="16" customHeight="1">
      <c r="B138" s="86"/>
      <c r="C138" s="86"/>
      <c r="D138" s="86"/>
      <c r="E138" s="86"/>
    </row>
    <row r="139" spans="2:16" ht="16" customHeight="1">
      <c r="B139" s="355" t="s">
        <v>127</v>
      </c>
      <c r="C139" s="71">
        <f>N94</f>
        <v>32060.37267080745</v>
      </c>
      <c r="D139" s="71">
        <f>O94</f>
        <v>42834</v>
      </c>
      <c r="E139" s="71">
        <f>P94</f>
        <v>62180.418636056718</v>
      </c>
    </row>
    <row r="140" spans="2:16" ht="16" customHeight="1">
      <c r="B140" s="355"/>
      <c r="C140" s="71"/>
      <c r="D140" s="71"/>
      <c r="E140" s="71"/>
    </row>
    <row r="141" spans="2:16" ht="16" customHeight="1">
      <c r="B141" s="355" t="s">
        <v>153</v>
      </c>
      <c r="C141" s="71">
        <f>N96</f>
        <v>30000</v>
      </c>
      <c r="D141" s="71">
        <f>O96</f>
        <v>57500</v>
      </c>
      <c r="E141" s="71">
        <f>P96</f>
        <v>75000</v>
      </c>
    </row>
    <row r="142" spans="2:16" ht="16" customHeight="1">
      <c r="B142" s="355"/>
      <c r="C142" s="71"/>
      <c r="D142" s="71"/>
      <c r="E142" s="71"/>
    </row>
    <row r="143" spans="2:16" ht="16" customHeight="1">
      <c r="B143" s="355" t="s">
        <v>154</v>
      </c>
      <c r="C143" s="71">
        <f>N98</f>
        <v>-25760</v>
      </c>
      <c r="D143" s="71">
        <f>O98</f>
        <v>-40000</v>
      </c>
      <c r="E143" s="71">
        <f>P98</f>
        <v>-59240</v>
      </c>
    </row>
    <row r="144" spans="2:16" ht="16" customHeight="1">
      <c r="B144" s="71"/>
      <c r="C144" s="72"/>
      <c r="D144" s="72"/>
      <c r="E144" s="72"/>
    </row>
    <row r="145" spans="2:6" ht="16" customHeight="1">
      <c r="B145" s="71"/>
      <c r="C145" s="71"/>
      <c r="D145" s="71"/>
      <c r="E145" s="71"/>
    </row>
    <row r="146" spans="2:6" ht="16" customHeight="1">
      <c r="B146" s="356" t="s">
        <v>382</v>
      </c>
      <c r="C146" s="74">
        <f>C139+C141+C143</f>
        <v>36300.372670807454</v>
      </c>
      <c r="D146" s="74">
        <f t="shared" ref="D146:E146" si="49">D139+D141+D143</f>
        <v>60334</v>
      </c>
      <c r="E146" s="74">
        <f t="shared" si="49"/>
        <v>77940.418636056711</v>
      </c>
    </row>
    <row r="147" spans="2:6" ht="16" customHeight="1">
      <c r="B147" s="72"/>
      <c r="C147" s="72"/>
      <c r="D147" s="72"/>
      <c r="E147" s="72"/>
    </row>
    <row r="148" spans="2:6" ht="16" customHeight="1">
      <c r="B148" s="86"/>
      <c r="C148" s="235"/>
      <c r="D148" s="235"/>
      <c r="E148" s="235"/>
    </row>
    <row r="149" spans="2:6" ht="16" customHeight="1">
      <c r="B149" s="83" t="s">
        <v>305</v>
      </c>
      <c r="C149" s="93"/>
      <c r="D149" s="93"/>
      <c r="E149" s="93"/>
      <c r="F149" t="s">
        <v>1</v>
      </c>
    </row>
    <row r="150" spans="2:6" ht="16" customHeight="1">
      <c r="B150" s="71"/>
      <c r="C150" s="93"/>
      <c r="D150" s="93"/>
      <c r="E150" s="93"/>
    </row>
    <row r="151" spans="2:6" ht="16" customHeight="1">
      <c r="B151" s="71" t="s">
        <v>306</v>
      </c>
      <c r="C151" s="93">
        <f>N117</f>
        <v>18000</v>
      </c>
      <c r="D151" s="93">
        <f>O117</f>
        <v>15000</v>
      </c>
      <c r="E151" s="93">
        <f>P117</f>
        <v>12000</v>
      </c>
    </row>
    <row r="152" spans="2:6" ht="16" customHeight="1">
      <c r="B152" s="71"/>
      <c r="C152" s="93"/>
      <c r="D152" s="93"/>
      <c r="E152" s="93"/>
    </row>
    <row r="153" spans="2:6" ht="16" customHeight="1">
      <c r="B153" s="83" t="s">
        <v>309</v>
      </c>
      <c r="C153" s="93"/>
      <c r="D153" s="93"/>
      <c r="E153" s="93"/>
    </row>
    <row r="154" spans="2:6" ht="16" customHeight="1">
      <c r="B154" s="71"/>
      <c r="C154" s="93"/>
      <c r="D154" s="93"/>
      <c r="E154" s="93"/>
    </row>
    <row r="155" spans="2:6" ht="16" customHeight="1">
      <c r="B155" s="71" t="s">
        <v>135</v>
      </c>
      <c r="C155" s="93">
        <f t="shared" ref="C155:E156" si="50">N121</f>
        <v>0</v>
      </c>
      <c r="D155" s="93">
        <f t="shared" si="50"/>
        <v>0</v>
      </c>
      <c r="E155" s="93">
        <f t="shared" si="50"/>
        <v>0</v>
      </c>
    </row>
    <row r="156" spans="2:6" ht="16" customHeight="1">
      <c r="B156" s="71" t="s">
        <v>145</v>
      </c>
      <c r="C156" s="93">
        <f t="shared" si="50"/>
        <v>-15888.074534161491</v>
      </c>
      <c r="D156" s="93">
        <f t="shared" si="50"/>
        <v>-20694.8</v>
      </c>
      <c r="E156" s="93">
        <f t="shared" si="50"/>
        <v>-26840.083727211342</v>
      </c>
    </row>
    <row r="157" spans="2:6" ht="16" customHeight="1">
      <c r="B157" s="71"/>
      <c r="C157" s="94"/>
      <c r="D157" s="94"/>
      <c r="E157" s="94"/>
    </row>
    <row r="158" spans="2:6" ht="16" customHeight="1">
      <c r="B158" s="71"/>
      <c r="C158" s="93"/>
      <c r="D158" s="93"/>
      <c r="E158" s="93"/>
    </row>
    <row r="159" spans="2:6" ht="16" customHeight="1">
      <c r="B159" s="74" t="s">
        <v>307</v>
      </c>
      <c r="C159" s="236">
        <f>C151+C155+C156</f>
        <v>2111.9254658385089</v>
      </c>
      <c r="D159" s="236">
        <f t="shared" ref="D159:E159" si="51">D151+D155+D156</f>
        <v>-5694.7999999999993</v>
      </c>
      <c r="E159" s="236">
        <f t="shared" si="51"/>
        <v>-14840.083727211342</v>
      </c>
    </row>
    <row r="160" spans="2:6" ht="16" customHeight="1">
      <c r="B160" s="72"/>
      <c r="C160" s="94"/>
      <c r="D160" s="94"/>
      <c r="E160" s="94"/>
    </row>
    <row r="161" spans="2:5" ht="16" customHeight="1">
      <c r="B161" s="71"/>
      <c r="C161" s="93"/>
      <c r="D161" s="93"/>
      <c r="E161" s="93"/>
    </row>
    <row r="162" spans="2:5" ht="16" customHeight="1">
      <c r="B162" s="80" t="s">
        <v>152</v>
      </c>
      <c r="C162" s="236">
        <f>C146+C159</f>
        <v>38412.298136645964</v>
      </c>
      <c r="D162" s="236">
        <f t="shared" ref="D162:E162" si="52">D146+D159</f>
        <v>54639.199999999997</v>
      </c>
      <c r="E162" s="236">
        <f t="shared" si="52"/>
        <v>63100.334908845369</v>
      </c>
    </row>
    <row r="163" spans="2:5" ht="16" customHeight="1">
      <c r="B163" s="72"/>
      <c r="C163" s="94"/>
      <c r="D163" s="94"/>
      <c r="E163" s="94"/>
    </row>
    <row r="164" spans="2:5" ht="16" customHeight="1"/>
    <row r="165" spans="2:5" ht="16" customHeight="1"/>
    <row r="166" spans="2:5" ht="16" customHeight="1"/>
    <row r="167" spans="2:5" ht="16" customHeight="1"/>
    <row r="168" spans="2:5" ht="16" customHeight="1"/>
    <row r="169" spans="2:5" ht="16" customHeight="1"/>
    <row r="170" spans="2:5" ht="16" customHeight="1"/>
    <row r="171" spans="2:5" ht="16" customHeight="1"/>
    <row r="172" spans="2:5" ht="16" customHeight="1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0F64-B2FC-CF49-87D0-61D35BA79089}">
  <dimension ref="B2:N147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41.1640625" style="1" customWidth="1"/>
    <col min="3" max="3" width="12.33203125" style="1" customWidth="1"/>
    <col min="4" max="4" width="15.5" style="1" customWidth="1"/>
    <col min="5" max="5" width="14.33203125" style="1" customWidth="1"/>
    <col min="6" max="6" width="11.83203125" style="1" customWidth="1"/>
    <col min="7" max="7" width="10.1640625" style="1" customWidth="1"/>
    <col min="8" max="8" width="8.83203125" style="2" customWidth="1"/>
    <col min="9" max="9" width="8.83203125" style="1" customWidth="1"/>
    <col min="10" max="10" width="12.1640625" style="1" customWidth="1"/>
    <col min="11" max="11" width="9.5" style="1" customWidth="1"/>
    <col min="12" max="12" width="9.332031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7" t="s">
        <v>233</v>
      </c>
      <c r="H2" s="1"/>
    </row>
    <row r="3" spans="2:12" ht="19">
      <c r="B3" s="304" t="s">
        <v>115</v>
      </c>
      <c r="C3" s="83" t="s">
        <v>116</v>
      </c>
      <c r="D3" s="83" t="s">
        <v>117</v>
      </c>
      <c r="E3" s="2"/>
      <c r="G3" s="229"/>
      <c r="H3" s="1"/>
    </row>
    <row r="4" spans="2:12">
      <c r="C4" s="72"/>
      <c r="D4" s="72"/>
      <c r="F4" s="320"/>
      <c r="G4" s="48"/>
      <c r="H4" s="48"/>
      <c r="I4" s="4"/>
      <c r="J4" s="3"/>
      <c r="K4" s="48"/>
      <c r="L4" s="60"/>
    </row>
    <row r="5" spans="2:12" ht="19">
      <c r="B5" s="86"/>
      <c r="C5" s="71"/>
      <c r="D5" s="71"/>
      <c r="F5" s="177" t="s">
        <v>320</v>
      </c>
      <c r="H5" s="1"/>
      <c r="I5" s="10"/>
      <c r="J5" s="9"/>
      <c r="K5" s="1">
        <f>'Development plan Q4'!I12</f>
        <v>13000</v>
      </c>
      <c r="L5" s="65"/>
    </row>
    <row r="6" spans="2:12">
      <c r="B6" s="71" t="s">
        <v>259</v>
      </c>
      <c r="C6" s="83">
        <v>1</v>
      </c>
      <c r="D6" s="83">
        <f>MAN</f>
        <v>2000</v>
      </c>
      <c r="E6" s="2"/>
      <c r="F6" s="177" t="s">
        <v>269</v>
      </c>
      <c r="H6" s="1"/>
      <c r="I6" s="321">
        <v>0.35</v>
      </c>
      <c r="J6" s="9"/>
      <c r="K6" s="1">
        <f>I6*K5</f>
        <v>4550</v>
      </c>
      <c r="L6" s="61"/>
    </row>
    <row r="7" spans="2:12">
      <c r="B7" s="71"/>
      <c r="C7" s="83"/>
      <c r="D7" s="83"/>
      <c r="E7" s="2"/>
      <c r="F7" s="177" t="s">
        <v>270</v>
      </c>
      <c r="H7" s="1"/>
      <c r="I7" s="10"/>
      <c r="J7" s="9"/>
      <c r="K7" s="1">
        <f>K6+L30-H30</f>
        <v>10725</v>
      </c>
      <c r="L7" s="61"/>
    </row>
    <row r="8" spans="2:12">
      <c r="B8" s="71" t="s">
        <v>35</v>
      </c>
      <c r="C8" s="83">
        <f>'September-2'!C9+'Development plan Q4'!C41</f>
        <v>3</v>
      </c>
      <c r="D8" s="83">
        <f>ADOP</f>
        <v>1000</v>
      </c>
      <c r="E8" s="2"/>
      <c r="F8" s="5"/>
      <c r="H8" s="1"/>
      <c r="I8" s="10"/>
      <c r="J8" s="9"/>
      <c r="L8" s="61"/>
    </row>
    <row r="9" spans="2:12">
      <c r="B9" s="71"/>
      <c r="C9" s="83"/>
      <c r="D9" s="83"/>
      <c r="E9" s="2"/>
      <c r="F9" s="177" t="s">
        <v>266</v>
      </c>
      <c r="H9" s="1"/>
      <c r="I9" s="10"/>
      <c r="J9" s="9"/>
      <c r="K9" s="317">
        <f>K7*CMP</f>
        <v>171600</v>
      </c>
      <c r="L9" s="61"/>
    </row>
    <row r="10" spans="2:12">
      <c r="B10" s="71" t="s">
        <v>65</v>
      </c>
      <c r="C10" s="83">
        <f>'September-2'!C11+'Development plan Q4'!C42</f>
        <v>8</v>
      </c>
      <c r="D10" s="83">
        <f>MKT</f>
        <v>1300</v>
      </c>
      <c r="E10" s="2"/>
      <c r="F10" s="177" t="s">
        <v>235</v>
      </c>
      <c r="H10" s="1"/>
      <c r="I10" s="10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7" t="s">
        <v>236</v>
      </c>
      <c r="H11" s="1"/>
      <c r="I11" s="10"/>
      <c r="J11" s="9"/>
      <c r="K11" s="1">
        <f>C18*ADOP</f>
        <v>12000</v>
      </c>
      <c r="L11" s="61"/>
    </row>
    <row r="12" spans="2:12">
      <c r="B12" s="71" t="s">
        <v>260</v>
      </c>
      <c r="C12" s="83">
        <f>'September-2'!C13+'Development plan Q4'!C43</f>
        <v>3</v>
      </c>
      <c r="D12" s="83">
        <f>ING</f>
        <v>1500</v>
      </c>
      <c r="E12" s="2"/>
      <c r="F12" s="177" t="s">
        <v>348</v>
      </c>
      <c r="G12" s="2"/>
      <c r="H12" s="1"/>
      <c r="I12" s="10"/>
      <c r="J12" s="9"/>
      <c r="K12" s="1">
        <f>'September-2'!C105/'Development plan Q3'!E32</f>
        <v>500</v>
      </c>
      <c r="L12" s="10"/>
    </row>
    <row r="13" spans="2:12">
      <c r="B13" s="71"/>
      <c r="C13" s="71"/>
      <c r="D13" s="71"/>
      <c r="F13" s="177" t="s">
        <v>349</v>
      </c>
      <c r="H13" s="1"/>
      <c r="I13" s="10"/>
      <c r="J13" s="9"/>
      <c r="K13" s="11">
        <f>('Investment project Q2'!C18/'Investment project Q2'!G18)+('Development plan Q4'!C36/'Development plan Q4'!G36)</f>
        <v>6000</v>
      </c>
      <c r="L13" s="61"/>
    </row>
    <row r="14" spans="2:12">
      <c r="B14" s="71" t="s">
        <v>36</v>
      </c>
      <c r="C14" s="83">
        <f>'Development plan Q4'!H20</f>
        <v>5</v>
      </c>
      <c r="D14" s="83">
        <f>ING</f>
        <v>1500</v>
      </c>
      <c r="E14" s="2"/>
      <c r="F14" s="177"/>
      <c r="H14" s="1"/>
      <c r="I14" s="10"/>
      <c r="J14" s="9"/>
      <c r="L14" s="10"/>
    </row>
    <row r="15" spans="2:12">
      <c r="B15" s="71"/>
      <c r="C15" s="83"/>
      <c r="D15" s="83"/>
      <c r="E15" s="2"/>
      <c r="F15" s="9" t="s">
        <v>124</v>
      </c>
      <c r="H15" s="1"/>
      <c r="I15" s="10"/>
      <c r="J15" s="9"/>
      <c r="K15" s="329">
        <f>SUM(K9:K13)</f>
        <v>191600</v>
      </c>
      <c r="L15" s="10"/>
    </row>
    <row r="16" spans="2:12">
      <c r="B16" s="71" t="s">
        <v>25</v>
      </c>
      <c r="C16" s="83"/>
      <c r="D16" s="83"/>
      <c r="E16" s="2"/>
      <c r="F16" s="5"/>
      <c r="H16" s="1"/>
      <c r="I16" s="10"/>
      <c r="J16" s="9"/>
      <c r="L16" s="10"/>
    </row>
    <row r="17" spans="2:13">
      <c r="B17" s="71" t="s">
        <v>261</v>
      </c>
      <c r="C17" s="83">
        <v>1</v>
      </c>
      <c r="D17" s="83">
        <f>ING</f>
        <v>1500</v>
      </c>
      <c r="E17" s="2"/>
      <c r="F17" s="192" t="s">
        <v>237</v>
      </c>
      <c r="H17" s="1"/>
      <c r="I17" s="10"/>
      <c r="J17" s="9"/>
      <c r="K17" s="318">
        <f>K15/K7</f>
        <v>17.864801864801866</v>
      </c>
      <c r="L17" s="19" t="s">
        <v>378</v>
      </c>
    </row>
    <row r="18" spans="2:13">
      <c r="B18" s="71" t="s">
        <v>262</v>
      </c>
      <c r="C18" s="83">
        <f>'Development plan Q4'!C38</f>
        <v>12</v>
      </c>
      <c r="D18" s="83">
        <f>ADOP</f>
        <v>1000</v>
      </c>
      <c r="E18" s="2"/>
      <c r="F18" s="13"/>
      <c r="G18" s="11"/>
      <c r="H18" s="25"/>
      <c r="I18" s="8"/>
      <c r="J18" s="7"/>
      <c r="K18" s="11"/>
      <c r="L18" s="8"/>
    </row>
    <row r="19" spans="2:13">
      <c r="B19" s="72"/>
      <c r="C19" s="72"/>
      <c r="D19" s="72"/>
    </row>
    <row r="20" spans="2:13" ht="19">
      <c r="B20" s="229"/>
      <c r="C20" s="230"/>
      <c r="D20" s="230"/>
      <c r="E20" s="230"/>
      <c r="F20" s="230"/>
    </row>
    <row r="22" spans="2:13" ht="21">
      <c r="B22" s="231" t="s">
        <v>64</v>
      </c>
      <c r="H22" s="1"/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C24" s="1">
        <f>F24*H24+J24*L24</f>
        <v>262500</v>
      </c>
      <c r="F24" s="9">
        <f>'Development plan Q4'!H9</f>
        <v>5000</v>
      </c>
      <c r="G24" s="2" t="s">
        <v>70</v>
      </c>
      <c r="H24" s="1">
        <f>PVB2C</f>
        <v>30</v>
      </c>
      <c r="I24" s="349" t="s">
        <v>71</v>
      </c>
      <c r="J24" s="9">
        <f>'Development plan Q4'!H10</f>
        <v>4500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H25" s="1"/>
      <c r="I25" s="349"/>
      <c r="J25" s="9"/>
      <c r="K25" s="2"/>
      <c r="M25" s="349"/>
    </row>
    <row r="26" spans="2:13">
      <c r="B26" s="1" t="s">
        <v>66</v>
      </c>
      <c r="C26" s="33">
        <f>-L35</f>
        <v>-172495.5701512082</v>
      </c>
      <c r="F26" s="7">
        <f>F24</f>
        <v>5000</v>
      </c>
      <c r="G26" s="25" t="s">
        <v>70</v>
      </c>
      <c r="H26" s="337">
        <f>K35</f>
        <v>18.157428436969287</v>
      </c>
      <c r="I26" s="350" t="s">
        <v>71</v>
      </c>
      <c r="J26" s="7">
        <f>J24</f>
        <v>4500</v>
      </c>
      <c r="K26" s="25" t="s">
        <v>70</v>
      </c>
      <c r="L26" s="337">
        <f>K35</f>
        <v>18.157428436969287</v>
      </c>
      <c r="M26" s="350" t="s">
        <v>71</v>
      </c>
    </row>
    <row r="27" spans="2:13">
      <c r="H27" s="1"/>
    </row>
    <row r="28" spans="2:13">
      <c r="B28" s="1" t="s">
        <v>67</v>
      </c>
      <c r="C28" s="1">
        <f>C24+C26</f>
        <v>90004.429848791799</v>
      </c>
      <c r="H28" s="1"/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C30" s="1">
        <f>-(C6*MAN+C8*ADOP)</f>
        <v>-5000</v>
      </c>
      <c r="F30" s="5" t="s">
        <v>94</v>
      </c>
      <c r="H30" s="1">
        <f>'October-2'!L31</f>
        <v>3325</v>
      </c>
      <c r="J30" s="1" t="s">
        <v>65</v>
      </c>
      <c r="L30" s="10">
        <f>F24+J24</f>
        <v>9500</v>
      </c>
    </row>
    <row r="31" spans="2:13">
      <c r="B31" s="1" t="s">
        <v>100</v>
      </c>
      <c r="C31" s="1">
        <f>-C10*MKT</f>
        <v>-10400</v>
      </c>
      <c r="F31" s="13" t="s">
        <v>25</v>
      </c>
      <c r="G31" s="11"/>
      <c r="H31" s="11">
        <f>L30+L31-H30</f>
        <v>10725</v>
      </c>
      <c r="I31" s="11"/>
      <c r="J31" s="11" t="s">
        <v>90</v>
      </c>
      <c r="K31" s="11"/>
      <c r="L31" s="8">
        <f>K6</f>
        <v>4550</v>
      </c>
    </row>
    <row r="32" spans="2:13">
      <c r="B32" s="31" t="s">
        <v>310</v>
      </c>
      <c r="C32" s="1">
        <f>-C12*ING+'August-2'!C63/'August-2'!C118</f>
        <v>-7500</v>
      </c>
      <c r="F32" s="14" t="s">
        <v>6</v>
      </c>
      <c r="G32" s="15"/>
      <c r="H32" s="15">
        <f>H30+H31</f>
        <v>14050</v>
      </c>
      <c r="I32" s="15"/>
      <c r="J32" s="16" t="s">
        <v>6</v>
      </c>
      <c r="K32" s="15"/>
      <c r="L32" s="17">
        <f>L30+L31</f>
        <v>14050</v>
      </c>
    </row>
    <row r="33" spans="2:12">
      <c r="B33" s="31" t="s">
        <v>355</v>
      </c>
      <c r="C33" s="11">
        <f>-'Development plan Q4'!C45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113</v>
      </c>
      <c r="J34" s="15"/>
      <c r="K34" s="15"/>
      <c r="L34" s="17"/>
    </row>
    <row r="35" spans="2:12">
      <c r="B35" s="1" t="s">
        <v>250</v>
      </c>
      <c r="C35" s="1">
        <f>C28+C31+C30+C32+C33</f>
        <v>61104.429848791799</v>
      </c>
      <c r="F35" s="5" t="s">
        <v>94</v>
      </c>
      <c r="H35" s="1">
        <f>'October-2'!L36</f>
        <v>62180.418636056718</v>
      </c>
      <c r="I35" s="344">
        <f>J41</f>
        <v>18.700877785280216</v>
      </c>
      <c r="J35" s="1" t="s">
        <v>120</v>
      </c>
      <c r="K35" s="346">
        <f>+L44</f>
        <v>18.157428436969287</v>
      </c>
      <c r="L35" s="32">
        <f>H35+H36-L36</f>
        <v>172495.5701512082</v>
      </c>
    </row>
    <row r="36" spans="2:12">
      <c r="F36" s="129" t="s">
        <v>119</v>
      </c>
      <c r="G36" s="11"/>
      <c r="H36" s="328">
        <f>K15</f>
        <v>191600</v>
      </c>
      <c r="I36" s="345">
        <f>+K17</f>
        <v>17.864801864801866</v>
      </c>
      <c r="J36" s="11" t="s">
        <v>90</v>
      </c>
      <c r="K36" s="345">
        <f>+K17</f>
        <v>17.864801864801866</v>
      </c>
      <c r="L36" s="8">
        <f>L31*K17</f>
        <v>81284.848484848495</v>
      </c>
    </row>
    <row r="37" spans="2:12">
      <c r="B37" s="1" t="s">
        <v>238</v>
      </c>
      <c r="C37" s="1">
        <f>-'Investment project Q2'!C82-'Development plan Q4'!C54*'Development plan Q4'!C56/12</f>
        <v>-1240</v>
      </c>
      <c r="F37" s="14" t="s">
        <v>6</v>
      </c>
      <c r="G37" s="15"/>
      <c r="H37" s="15">
        <f>H35+H36</f>
        <v>253780.41863605671</v>
      </c>
      <c r="I37" s="15"/>
      <c r="J37" s="16" t="s">
        <v>6</v>
      </c>
      <c r="K37" s="15"/>
      <c r="L37" s="17">
        <f>L35+L36</f>
        <v>253780.41863605671</v>
      </c>
    </row>
    <row r="38" spans="2:12">
      <c r="H38" s="1"/>
    </row>
    <row r="39" spans="2:12">
      <c r="B39" s="1" t="s">
        <v>239</v>
      </c>
      <c r="C39" s="1">
        <f>C35+C37</f>
        <v>59864.429848791799</v>
      </c>
      <c r="F39" s="29"/>
      <c r="G39" s="15"/>
      <c r="H39" s="15"/>
      <c r="I39" s="24" t="s">
        <v>114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240</v>
      </c>
      <c r="C41" s="11">
        <f>-C39*C83</f>
        <v>-11972.885969758361</v>
      </c>
      <c r="F41" s="177" t="s">
        <v>121</v>
      </c>
      <c r="H41" s="2">
        <f>H30</f>
        <v>3325</v>
      </c>
      <c r="I41" s="1" t="s">
        <v>46</v>
      </c>
      <c r="J41" s="338">
        <f>'October-2'!K17</f>
        <v>18.700877785280216</v>
      </c>
      <c r="K41" s="2" t="s">
        <v>23</v>
      </c>
      <c r="L41" s="6">
        <f>H41*J41</f>
        <v>62180.418636056718</v>
      </c>
    </row>
    <row r="42" spans="2:12" ht="17" thickBot="1">
      <c r="F42" s="177" t="s">
        <v>122</v>
      </c>
      <c r="H42" s="342">
        <f>L30-H30</f>
        <v>6175</v>
      </c>
      <c r="I42" s="1" t="s">
        <v>46</v>
      </c>
      <c r="J42" s="341">
        <f>K17</f>
        <v>17.864801864801866</v>
      </c>
      <c r="K42" s="2" t="s">
        <v>23</v>
      </c>
      <c r="L42" s="6">
        <f>H42*J42</f>
        <v>110315.15151515152</v>
      </c>
    </row>
    <row r="43" spans="2:12">
      <c r="B43" s="1" t="s">
        <v>241</v>
      </c>
      <c r="C43" s="1">
        <f>C39+C41</f>
        <v>47891.543879033437</v>
      </c>
      <c r="F43" s="5" t="s">
        <v>123</v>
      </c>
      <c r="H43" s="2">
        <f>H41+H42</f>
        <v>9500</v>
      </c>
      <c r="J43" s="36" t="s">
        <v>124</v>
      </c>
      <c r="K43" s="2" t="s">
        <v>23</v>
      </c>
      <c r="L43" s="340">
        <f>L41+L42</f>
        <v>172495.57015120823</v>
      </c>
    </row>
    <row r="44" spans="2:12">
      <c r="F44" s="13"/>
      <c r="G44" s="11"/>
      <c r="H44" s="11"/>
      <c r="I44" s="11"/>
      <c r="J44" s="112" t="s">
        <v>117</v>
      </c>
      <c r="K44" s="25" t="s">
        <v>23</v>
      </c>
      <c r="L44" s="339">
        <f>L43/L30</f>
        <v>18.157428436969287</v>
      </c>
    </row>
    <row r="45" spans="2:12">
      <c r="H45" s="1"/>
    </row>
    <row r="46" spans="2:12" ht="19">
      <c r="B46" s="12" t="s">
        <v>72</v>
      </c>
      <c r="H46" s="1"/>
    </row>
    <row r="47" spans="2:12">
      <c r="F47" s="14"/>
      <c r="G47" s="15"/>
      <c r="H47" s="15"/>
      <c r="I47" s="24" t="s">
        <v>89</v>
      </c>
      <c r="J47" s="15"/>
      <c r="K47" s="15"/>
      <c r="L47" s="17"/>
    </row>
    <row r="48" spans="2:12">
      <c r="B48" s="1" t="s">
        <v>73</v>
      </c>
      <c r="C48" s="20">
        <f>L48</f>
        <v>225000</v>
      </c>
      <c r="F48" s="5" t="s">
        <v>94</v>
      </c>
      <c r="H48" s="1">
        <f>'October-2'!L49</f>
        <v>75000</v>
      </c>
      <c r="J48" s="1" t="s">
        <v>95</v>
      </c>
      <c r="L48" s="21">
        <f>H48+H49-L49</f>
        <v>225000</v>
      </c>
    </row>
    <row r="49" spans="2:12">
      <c r="B49" s="1" t="s">
        <v>340</v>
      </c>
      <c r="C49" s="1">
        <v>0</v>
      </c>
      <c r="F49" s="13" t="s">
        <v>65</v>
      </c>
      <c r="G49" s="11"/>
      <c r="H49" s="11">
        <f>C24</f>
        <v>262500</v>
      </c>
      <c r="I49" s="11"/>
      <c r="J49" s="11" t="s">
        <v>90</v>
      </c>
      <c r="K49" s="11"/>
      <c r="L49" s="8">
        <f>J24*L24</f>
        <v>112500</v>
      </c>
    </row>
    <row r="50" spans="2:12">
      <c r="B50" s="1" t="s">
        <v>242</v>
      </c>
      <c r="C50" s="1">
        <v>0</v>
      </c>
      <c r="F50" s="14" t="s">
        <v>6</v>
      </c>
      <c r="G50" s="15"/>
      <c r="H50" s="15">
        <f>H48+H49</f>
        <v>337500</v>
      </c>
      <c r="I50" s="15"/>
      <c r="J50" s="16" t="s">
        <v>6</v>
      </c>
      <c r="K50" s="15"/>
      <c r="L50" s="17">
        <f>L48+L49</f>
        <v>337500</v>
      </c>
    </row>
    <row r="51" spans="2:12">
      <c r="H51" s="1"/>
    </row>
    <row r="52" spans="2:12">
      <c r="B52" s="26" t="s">
        <v>281</v>
      </c>
      <c r="C52" s="26">
        <f>C48+C50+C49</f>
        <v>225000</v>
      </c>
      <c r="H52" s="1"/>
    </row>
    <row r="53" spans="2:12">
      <c r="H53" s="1"/>
    </row>
    <row r="54" spans="2:12">
      <c r="B54" s="1" t="s">
        <v>74</v>
      </c>
      <c r="F54" s="14"/>
      <c r="G54" s="15"/>
      <c r="H54" s="15"/>
      <c r="I54" s="24" t="s">
        <v>86</v>
      </c>
      <c r="J54" s="15"/>
      <c r="K54" s="15"/>
      <c r="L54" s="17"/>
    </row>
    <row r="55" spans="2:12">
      <c r="F55" s="5" t="s">
        <v>94</v>
      </c>
      <c r="H55" s="1">
        <f>'October-2'!L56</f>
        <v>59240</v>
      </c>
      <c r="J55" s="1" t="s">
        <v>96</v>
      </c>
      <c r="L55" s="23">
        <f>H55+H56-L56</f>
        <v>145040</v>
      </c>
    </row>
    <row r="56" spans="2:12">
      <c r="B56" s="1" t="s">
        <v>98</v>
      </c>
      <c r="C56" s="22">
        <f>-L55</f>
        <v>-145040</v>
      </c>
      <c r="F56" s="13" t="s">
        <v>97</v>
      </c>
      <c r="G56" s="11"/>
      <c r="H56" s="34">
        <f>K9</f>
        <v>171600</v>
      </c>
      <c r="I56" s="11"/>
      <c r="J56" s="11" t="s">
        <v>90</v>
      </c>
      <c r="K56" s="11"/>
      <c r="L56" s="8">
        <f>K59*H56</f>
        <v>85800</v>
      </c>
    </row>
    <row r="57" spans="2:12">
      <c r="B57" s="1" t="s">
        <v>11</v>
      </c>
      <c r="C57" s="1">
        <f>C30</f>
        <v>-5000</v>
      </c>
      <c r="F57" s="14" t="s">
        <v>6</v>
      </c>
      <c r="G57" s="15"/>
      <c r="H57" s="15">
        <f>H55+H56</f>
        <v>230840</v>
      </c>
      <c r="I57" s="15"/>
      <c r="J57" s="16" t="s">
        <v>6</v>
      </c>
      <c r="K57" s="15"/>
      <c r="L57" s="17">
        <f>L55+L56</f>
        <v>230840</v>
      </c>
    </row>
    <row r="58" spans="2:12">
      <c r="B58" s="1" t="s">
        <v>125</v>
      </c>
      <c r="C58" s="1">
        <f>C31</f>
        <v>-10400</v>
      </c>
      <c r="H58" s="1"/>
    </row>
    <row r="59" spans="2:12">
      <c r="B59" s="1" t="s">
        <v>351</v>
      </c>
      <c r="C59" s="1">
        <f>C33</f>
        <v>-6000</v>
      </c>
      <c r="F59" s="2"/>
      <c r="H59" s="1"/>
      <c r="J59" s="29" t="s">
        <v>92</v>
      </c>
      <c r="K59" s="40">
        <v>0.5</v>
      </c>
      <c r="L59" s="17" t="s">
        <v>93</v>
      </c>
    </row>
    <row r="60" spans="2:12">
      <c r="B60" s="1" t="s">
        <v>282</v>
      </c>
      <c r="C60" s="1">
        <f>-'Development plan Q4'!H27</f>
        <v>-7500</v>
      </c>
      <c r="H60" s="1"/>
    </row>
    <row r="61" spans="2:12">
      <c r="B61" s="1" t="s">
        <v>311</v>
      </c>
      <c r="C61" s="1">
        <f>-C12*ING</f>
        <v>-4500</v>
      </c>
      <c r="H61" s="1"/>
    </row>
    <row r="62" spans="2:12">
      <c r="B62" s="1" t="s">
        <v>243</v>
      </c>
      <c r="C62" s="1">
        <f>-K10</f>
        <v>-1500</v>
      </c>
      <c r="H62" s="1"/>
    </row>
    <row r="63" spans="2:12">
      <c r="B63" s="1" t="s">
        <v>252</v>
      </c>
      <c r="C63" s="1">
        <f>-K11</f>
        <v>-12000</v>
      </c>
      <c r="H63" s="1"/>
    </row>
    <row r="64" spans="2:12">
      <c r="B64" s="1" t="s">
        <v>158</v>
      </c>
      <c r="C64" s="1">
        <v>0</v>
      </c>
      <c r="H64" s="1"/>
    </row>
    <row r="65" spans="2:8">
      <c r="B65" s="1" t="s">
        <v>159</v>
      </c>
      <c r="C65" s="1">
        <v>0</v>
      </c>
      <c r="H65" s="1"/>
    </row>
    <row r="66" spans="2:8">
      <c r="B66" s="1" t="s">
        <v>245</v>
      </c>
      <c r="C66" s="1">
        <f>C37</f>
        <v>-1240</v>
      </c>
      <c r="H66" s="1"/>
    </row>
    <row r="67" spans="2:8">
      <c r="H67" s="1"/>
    </row>
    <row r="68" spans="2:8">
      <c r="B68" s="26" t="s">
        <v>76</v>
      </c>
      <c r="C68" s="26">
        <f>SUM(C56:C66)</f>
        <v>-193180</v>
      </c>
      <c r="H68" s="1"/>
    </row>
    <row r="69" spans="2:8">
      <c r="H69" s="1"/>
    </row>
    <row r="70" spans="2:8">
      <c r="B70" s="26" t="s">
        <v>281</v>
      </c>
      <c r="C70" s="26">
        <f>C52</f>
        <v>225000</v>
      </c>
      <c r="H70" s="1"/>
    </row>
    <row r="71" spans="2:8">
      <c r="H71" s="1"/>
    </row>
    <row r="72" spans="2:8">
      <c r="B72" s="26" t="s">
        <v>76</v>
      </c>
      <c r="C72" s="26">
        <f>SUM(C56:C66)</f>
        <v>-193180</v>
      </c>
    </row>
    <row r="74" spans="2:8">
      <c r="B74" s="294" t="s">
        <v>77</v>
      </c>
      <c r="C74" s="294">
        <f>C52+C72</f>
        <v>31820</v>
      </c>
    </row>
    <row r="75" spans="2:8">
      <c r="H75" s="1"/>
    </row>
    <row r="76" spans="2:8">
      <c r="B76" s="1" t="s">
        <v>78</v>
      </c>
      <c r="C76" s="1">
        <f>'October-2'!C113</f>
        <v>37980</v>
      </c>
      <c r="H76" s="1"/>
    </row>
    <row r="77" spans="2:8">
      <c r="H77" s="1"/>
    </row>
    <row r="78" spans="2:8">
      <c r="B78" s="26" t="s">
        <v>79</v>
      </c>
      <c r="C78" s="232">
        <f>C74+C76</f>
        <v>69800</v>
      </c>
      <c r="H78" s="1"/>
    </row>
    <row r="79" spans="2:8">
      <c r="H79" s="1"/>
    </row>
    <row r="80" spans="2:8">
      <c r="H80" s="1"/>
    </row>
    <row r="81" spans="2:14" ht="21">
      <c r="B81" s="12" t="s">
        <v>139</v>
      </c>
      <c r="C81" s="229"/>
      <c r="D81" s="12" t="s">
        <v>129</v>
      </c>
      <c r="E81" s="307"/>
      <c r="F81" s="148"/>
      <c r="H81" s="1"/>
    </row>
    <row r="82" spans="2:14" ht="19">
      <c r="D82" s="12"/>
      <c r="E82" s="12"/>
      <c r="F82" s="12"/>
    </row>
    <row r="83" spans="2:14">
      <c r="B83" s="31" t="s">
        <v>165</v>
      </c>
      <c r="C83" s="128">
        <f>TIS</f>
        <v>0.2</v>
      </c>
      <c r="D83" s="1" t="s">
        <v>130</v>
      </c>
      <c r="E83" s="305"/>
      <c r="F83" s="2">
        <f>C89</f>
        <v>47891.543879033437</v>
      </c>
    </row>
    <row r="84" spans="2:14">
      <c r="C84" s="2"/>
      <c r="E84" s="305"/>
      <c r="F84" s="36"/>
    </row>
    <row r="85" spans="2:14">
      <c r="B85" s="1" t="s">
        <v>166</v>
      </c>
      <c r="C85" s="2">
        <f>C39</f>
        <v>59864.429848791799</v>
      </c>
      <c r="D85" s="1" t="s">
        <v>167</v>
      </c>
      <c r="E85" s="31"/>
      <c r="F85" s="128">
        <f>F87/'October-2'!G101</f>
        <v>0.17229447189056993</v>
      </c>
      <c r="G85" s="1" t="s">
        <v>362</v>
      </c>
      <c r="H85" s="1"/>
    </row>
    <row r="86" spans="2:14">
      <c r="C86" s="2"/>
      <c r="F86" s="2"/>
      <c r="H86" s="1"/>
    </row>
    <row r="87" spans="2:14">
      <c r="B87" s="1" t="s">
        <v>141</v>
      </c>
      <c r="C87" s="2">
        <f>-C85*C83</f>
        <v>-11972.885969758361</v>
      </c>
      <c r="D87" s="1" t="s">
        <v>131</v>
      </c>
      <c r="F87" s="302">
        <v>20000</v>
      </c>
      <c r="H87" s="1"/>
    </row>
    <row r="88" spans="2:14">
      <c r="C88" s="2"/>
      <c r="F88" s="2"/>
      <c r="H88" s="1"/>
    </row>
    <row r="89" spans="2:14">
      <c r="B89" s="1" t="s">
        <v>167</v>
      </c>
      <c r="C89" s="2">
        <f>C85+C87</f>
        <v>47891.543879033437</v>
      </c>
      <c r="D89" s="1" t="s">
        <v>185</v>
      </c>
      <c r="F89" s="303">
        <f>C89-F87</f>
        <v>27891.543879033437</v>
      </c>
      <c r="H89" s="1"/>
    </row>
    <row r="90" spans="2:14">
      <c r="H90" s="1"/>
    </row>
    <row r="91" spans="2:14" s="2" customFormat="1"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</row>
    <row r="92" spans="2:14" s="2" customFormat="1" ht="21">
      <c r="B92" s="231" t="s">
        <v>80</v>
      </c>
      <c r="C92" s="1"/>
      <c r="D92" s="12"/>
      <c r="E92" s="12"/>
      <c r="F92" s="12"/>
      <c r="G92" s="1"/>
      <c r="I92" s="1"/>
      <c r="J92" s="1"/>
      <c r="K92" s="1"/>
      <c r="L92" s="1"/>
      <c r="M92" s="1"/>
      <c r="N92" s="1"/>
    </row>
    <row r="93" spans="2:14" s="2" customFormat="1"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</row>
    <row r="94" spans="2:14" s="2" customFormat="1" ht="11" customHeight="1">
      <c r="B94" s="3" t="s">
        <v>1</v>
      </c>
      <c r="C94" s="4"/>
      <c r="D94" s="3"/>
      <c r="E94" s="48"/>
      <c r="F94" s="48"/>
      <c r="G94" s="4"/>
      <c r="I94" s="1"/>
      <c r="J94" s="1"/>
      <c r="K94" s="1"/>
      <c r="L94" s="1"/>
      <c r="M94" s="1"/>
      <c r="N94" s="1"/>
    </row>
    <row r="95" spans="2:14" s="2" customFormat="1" ht="19">
      <c r="B95" s="227" t="s">
        <v>60</v>
      </c>
      <c r="C95" s="228"/>
      <c r="D95" s="227"/>
      <c r="E95" s="226" t="s">
        <v>84</v>
      </c>
      <c r="F95" s="226"/>
      <c r="G95" s="6"/>
      <c r="I95" s="1"/>
      <c r="J95" s="1"/>
      <c r="K95" s="1"/>
      <c r="L95" s="1"/>
      <c r="M95" s="1"/>
      <c r="N95" s="1"/>
    </row>
    <row r="96" spans="2:14" s="2" customFormat="1" ht="11" customHeight="1">
      <c r="B96" s="7"/>
      <c r="C96" s="8"/>
      <c r="D96" s="7"/>
      <c r="E96" s="11"/>
      <c r="F96" s="11"/>
      <c r="G96" s="8"/>
      <c r="H96" s="30"/>
      <c r="I96" s="1"/>
      <c r="K96" s="31"/>
      <c r="L96" s="1"/>
      <c r="M96" s="1"/>
      <c r="N96" s="1"/>
    </row>
    <row r="97" spans="2:14" s="2" customFormat="1">
      <c r="B97" s="3"/>
      <c r="C97" s="4"/>
      <c r="D97" s="3"/>
      <c r="E97" s="48"/>
      <c r="F97" s="48"/>
      <c r="G97" s="4"/>
      <c r="L97" s="1"/>
      <c r="M97" s="1"/>
      <c r="N97" s="1"/>
    </row>
    <row r="98" spans="2:14" s="2" customFormat="1">
      <c r="B98" s="9" t="s">
        <v>248</v>
      </c>
      <c r="C98" s="122">
        <f>'Investment project Q2'!C18+'Development plan Q4'!C36</f>
        <v>360000</v>
      </c>
      <c r="D98" s="9" t="s">
        <v>62</v>
      </c>
      <c r="E98" s="1"/>
      <c r="F98" s="1"/>
      <c r="G98" s="10">
        <f>NA*PAR+'Development plan Q4'!F67</f>
        <v>11000</v>
      </c>
      <c r="H98" s="115"/>
      <c r="I98" s="116" t="s">
        <v>90</v>
      </c>
      <c r="J98" s="116"/>
      <c r="K98" s="117"/>
      <c r="L98" s="1"/>
      <c r="M98" s="1"/>
      <c r="N98" s="1"/>
    </row>
    <row r="99" spans="2:14" s="2" customFormat="1">
      <c r="B99" s="9" t="s">
        <v>271</v>
      </c>
      <c r="C99" s="123">
        <f>-K13+'October-2'!C100</f>
        <v>-18000</v>
      </c>
      <c r="D99" s="31" t="s">
        <v>347</v>
      </c>
      <c r="E99" s="31"/>
      <c r="G99" s="36">
        <f>'Development plan Q4'!F69</f>
        <v>99000</v>
      </c>
      <c r="H99" s="5"/>
      <c r="I99" s="31" t="s">
        <v>358</v>
      </c>
      <c r="K99" s="6" t="s">
        <v>149</v>
      </c>
      <c r="L99" s="1"/>
      <c r="M99" s="1"/>
      <c r="N99" s="1"/>
    </row>
    <row r="100" spans="2:14" s="2" customFormat="1">
      <c r="B100" s="9" t="s">
        <v>247</v>
      </c>
      <c r="C100" s="122">
        <f>C98+C99</f>
        <v>342000</v>
      </c>
      <c r="D100" s="9" t="s">
        <v>85</v>
      </c>
      <c r="E100" s="1"/>
      <c r="F100" s="1"/>
      <c r="G100" s="43">
        <f>I100+K100</f>
        <v>143971.87878787881</v>
      </c>
      <c r="H100" s="13" t="s">
        <v>23</v>
      </c>
      <c r="I100" s="11">
        <f>'October-2'!G101</f>
        <v>116080.33490884537</v>
      </c>
      <c r="J100" s="11"/>
      <c r="K100" s="118">
        <f>F89</f>
        <v>27891.543879033437</v>
      </c>
      <c r="L100" s="1"/>
      <c r="M100" s="1"/>
      <c r="N100" s="1"/>
    </row>
    <row r="101" spans="2:14" s="2" customFormat="1">
      <c r="B101" s="9"/>
      <c r="C101" s="122"/>
      <c r="D101" s="9" t="s">
        <v>82</v>
      </c>
      <c r="E101" s="1"/>
      <c r="F101" s="1"/>
      <c r="G101" s="10">
        <f>G98+G100+G99</f>
        <v>253971.87878787881</v>
      </c>
      <c r="I101" s="1"/>
      <c r="J101" s="1"/>
      <c r="K101" s="1"/>
      <c r="L101" s="1"/>
      <c r="M101" s="1"/>
      <c r="N101" s="1"/>
    </row>
    <row r="102" spans="2:14" s="2" customFormat="1">
      <c r="B102" s="177" t="s">
        <v>285</v>
      </c>
      <c r="C102" s="122">
        <f>-C60+'October-2'!C103-K12</f>
        <v>32000</v>
      </c>
      <c r="D102" s="9"/>
      <c r="E102" s="1"/>
      <c r="F102" s="1"/>
      <c r="G102" s="10"/>
      <c r="I102" s="1"/>
      <c r="J102" s="1"/>
      <c r="K102" s="1"/>
      <c r="L102" s="1"/>
      <c r="M102" s="1"/>
      <c r="N102" s="1"/>
    </row>
    <row r="103" spans="2:14" s="2" customFormat="1">
      <c r="B103" s="5"/>
      <c r="C103" s="6"/>
      <c r="D103" s="9" t="s">
        <v>229</v>
      </c>
      <c r="E103" s="1"/>
      <c r="F103" s="1"/>
      <c r="G103" s="10">
        <f>'October-2'!G104+'November-2'!C50</f>
        <v>248000</v>
      </c>
      <c r="I103" s="1"/>
      <c r="J103" s="1"/>
      <c r="K103" s="1"/>
      <c r="L103" s="1"/>
      <c r="M103" s="1"/>
      <c r="N103" s="1"/>
    </row>
    <row r="104" spans="2:14" s="2" customFormat="1">
      <c r="B104" s="192" t="s">
        <v>288</v>
      </c>
      <c r="C104" s="233">
        <f>C100+C102</f>
        <v>374000</v>
      </c>
      <c r="D104" s="9"/>
      <c r="E104" s="1"/>
      <c r="F104" s="1"/>
      <c r="G104" s="10"/>
      <c r="I104" s="1"/>
      <c r="J104" s="1"/>
      <c r="K104" s="1"/>
      <c r="L104" s="1"/>
      <c r="M104" s="1"/>
      <c r="N104" s="1"/>
    </row>
    <row r="105" spans="2:14" s="2" customFormat="1">
      <c r="B105" s="9"/>
      <c r="C105" s="122"/>
      <c r="D105" s="9"/>
      <c r="E105" s="1"/>
      <c r="F105" s="1"/>
      <c r="G105" s="10"/>
      <c r="I105" s="1"/>
      <c r="J105" s="1"/>
      <c r="K105" s="1"/>
      <c r="L105" s="1"/>
      <c r="M105" s="1"/>
      <c r="N105" s="1"/>
    </row>
    <row r="106" spans="2:14" s="2" customFormat="1">
      <c r="B106" s="9" t="s">
        <v>127</v>
      </c>
      <c r="C106" s="10">
        <f>L36</f>
        <v>81284.848484848495</v>
      </c>
      <c r="D106" s="9" t="s">
        <v>135</v>
      </c>
      <c r="E106" s="1"/>
      <c r="F106" s="1"/>
      <c r="G106" s="41">
        <f>'October-2'!G107+'November-2'!C65+F87</f>
        <v>20000</v>
      </c>
      <c r="I106" s="1"/>
      <c r="J106" s="1"/>
      <c r="K106" s="1"/>
      <c r="L106" s="1"/>
      <c r="M106" s="1"/>
      <c r="N106" s="1"/>
    </row>
    <row r="107" spans="2:14" s="2" customFormat="1">
      <c r="B107" s="9" t="s">
        <v>128</v>
      </c>
      <c r="C107" s="10">
        <f>L49</f>
        <v>112500</v>
      </c>
      <c r="D107" s="9" t="s">
        <v>86</v>
      </c>
      <c r="E107" s="1"/>
      <c r="F107" s="1"/>
      <c r="G107" s="10">
        <f>L56</f>
        <v>85800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357</v>
      </c>
      <c r="C108" s="8">
        <f>'October-2'!C109+'August-2'!C63/'August-2'!C118</f>
        <v>9000</v>
      </c>
      <c r="D108" s="9" t="s">
        <v>145</v>
      </c>
      <c r="E108" s="1"/>
      <c r="F108" s="1"/>
      <c r="G108" s="8">
        <f>'October-2'!G109+'November-2'!C64-'November-2'!C87</f>
        <v>38812.969696969703</v>
      </c>
      <c r="I108" s="1"/>
      <c r="J108" s="1"/>
      <c r="K108" s="1"/>
      <c r="L108" s="1"/>
      <c r="M108" s="1"/>
      <c r="N108" s="1"/>
    </row>
    <row r="109" spans="2:14" s="2" customFormat="1">
      <c r="B109" s="9"/>
      <c r="C109" s="10"/>
      <c r="D109" s="1"/>
      <c r="E109" s="1"/>
      <c r="F109" s="1"/>
      <c r="G109" s="10"/>
      <c r="I109" s="1"/>
      <c r="J109" s="1"/>
      <c r="K109" s="1"/>
      <c r="L109" s="1"/>
      <c r="M109" s="1"/>
      <c r="N109" s="1"/>
    </row>
    <row r="110" spans="2:14" s="2" customFormat="1">
      <c r="B110" s="18" t="s">
        <v>290</v>
      </c>
      <c r="C110" s="19">
        <f>SUM(C106:C108)</f>
        <v>202784.84848484851</v>
      </c>
      <c r="D110" s="26" t="s">
        <v>293</v>
      </c>
      <c r="E110" s="26"/>
      <c r="F110" s="26"/>
      <c r="G110" s="19">
        <f>SUM(G106:G108)</f>
        <v>144612.9696969697</v>
      </c>
      <c r="I110" s="1"/>
      <c r="J110" s="1"/>
      <c r="K110" s="1"/>
      <c r="L110" s="1"/>
      <c r="M110" s="1"/>
      <c r="N110" s="1"/>
    </row>
    <row r="111" spans="2:14" s="2" customFormat="1">
      <c r="B111" s="9"/>
      <c r="C111" s="10"/>
      <c r="D111" s="1"/>
      <c r="E111" s="1"/>
      <c r="F111" s="1"/>
      <c r="G111" s="10"/>
      <c r="I111" s="1"/>
      <c r="J111" s="1"/>
      <c r="K111" s="1"/>
      <c r="L111" s="1"/>
      <c r="M111" s="1"/>
      <c r="N111" s="1"/>
    </row>
    <row r="112" spans="2:14" s="2" customFormat="1">
      <c r="B112" s="18" t="s">
        <v>63</v>
      </c>
      <c r="C112" s="28">
        <f>'November-2'!C78</f>
        <v>69800</v>
      </c>
      <c r="G112" s="6"/>
      <c r="I112" s="1"/>
      <c r="J112" s="1"/>
      <c r="K112" s="1"/>
      <c r="L112" s="1"/>
      <c r="M112" s="1"/>
      <c r="N112" s="1"/>
    </row>
    <row r="113" spans="2:14" s="2" customFormat="1">
      <c r="B113" s="9"/>
      <c r="C113" s="10"/>
      <c r="D113" s="9"/>
      <c r="E113" s="1"/>
      <c r="F113" s="1"/>
      <c r="G113" s="10"/>
      <c r="I113" s="1"/>
      <c r="J113" s="1"/>
      <c r="K113" s="1"/>
      <c r="L113" s="1"/>
      <c r="M113" s="1"/>
      <c r="N113" s="1"/>
    </row>
    <row r="114" spans="2:14">
      <c r="B114" s="18" t="s">
        <v>88</v>
      </c>
      <c r="C114" s="19">
        <f>C107+C112+C106+C100+C102+C108</f>
        <v>646584.84848484851</v>
      </c>
      <c r="D114" s="18" t="s">
        <v>87</v>
      </c>
      <c r="E114" s="26"/>
      <c r="F114" s="26"/>
      <c r="G114" s="19">
        <f>G101+G107+G108+G106+G103</f>
        <v>646584.84848484851</v>
      </c>
    </row>
    <row r="115" spans="2:14">
      <c r="B115" s="7"/>
      <c r="C115" s="8"/>
      <c r="D115" s="7"/>
      <c r="E115" s="11"/>
      <c r="F115" s="11"/>
      <c r="G115" s="8"/>
    </row>
    <row r="118" spans="2:14" ht="19">
      <c r="B118" s="12" t="s">
        <v>359</v>
      </c>
    </row>
    <row r="120" spans="2:14">
      <c r="B120" s="1" t="s">
        <v>249</v>
      </c>
      <c r="C120" s="1">
        <f>C35</f>
        <v>61104.429848791799</v>
      </c>
    </row>
    <row r="121" spans="2:14">
      <c r="B121" s="1" t="s">
        <v>301</v>
      </c>
      <c r="C121" s="11">
        <f>K13+K12</f>
        <v>6500</v>
      </c>
    </row>
    <row r="122" spans="2:14" ht="11" customHeight="1"/>
    <row r="123" spans="2:14">
      <c r="B123" s="26" t="s">
        <v>29</v>
      </c>
      <c r="C123" s="26">
        <f>C120+C121</f>
        <v>67604.429848791799</v>
      </c>
    </row>
    <row r="125" spans="2:14">
      <c r="B125" s="1" t="s">
        <v>294</v>
      </c>
      <c r="C125" s="1">
        <f>C37</f>
        <v>-1240</v>
      </c>
      <c r="E125" s="3" t="s">
        <v>167</v>
      </c>
      <c r="F125" s="116"/>
      <c r="G125" s="4">
        <f>C43</f>
        <v>47891.543879033437</v>
      </c>
    </row>
    <row r="126" spans="2:14" ht="18" customHeight="1">
      <c r="B126" s="1" t="s">
        <v>295</v>
      </c>
      <c r="C126" s="1">
        <f>C41</f>
        <v>-11972.885969758361</v>
      </c>
      <c r="E126" s="9"/>
      <c r="F126" s="2"/>
      <c r="G126" s="10"/>
    </row>
    <row r="127" spans="2:14" ht="16" customHeight="1">
      <c r="C127" s="11"/>
      <c r="E127" s="9" t="s">
        <v>353</v>
      </c>
      <c r="F127" s="2"/>
      <c r="G127" s="8">
        <f>K12+K13</f>
        <v>6500</v>
      </c>
    </row>
    <row r="128" spans="2:14" ht="11" customHeight="1">
      <c r="E128" s="9"/>
      <c r="F128" s="2"/>
      <c r="G128" s="10"/>
    </row>
    <row r="129" spans="2:8">
      <c r="B129" s="26" t="s">
        <v>296</v>
      </c>
      <c r="C129" s="26">
        <f>C123+C125+C126</f>
        <v>54391.543879033437</v>
      </c>
      <c r="D129" s="26"/>
      <c r="E129" s="347" t="s">
        <v>296</v>
      </c>
      <c r="F129" s="25"/>
      <c r="G129" s="348">
        <f>G125+G127</f>
        <v>54391.543879033437</v>
      </c>
    </row>
    <row r="131" spans="2:8">
      <c r="B131" s="1" t="s">
        <v>297</v>
      </c>
      <c r="C131" s="1">
        <f>-'Financial analysis November - 2'!Q131</f>
        <v>4928.4561209665626</v>
      </c>
    </row>
    <row r="133" spans="2:8">
      <c r="B133" s="26" t="s">
        <v>298</v>
      </c>
      <c r="C133" s="26">
        <f>C129+C131</f>
        <v>59320</v>
      </c>
    </row>
    <row r="135" spans="2:8">
      <c r="B135" s="1" t="s">
        <v>299</v>
      </c>
      <c r="C135" s="1">
        <v>0</v>
      </c>
    </row>
    <row r="136" spans="2:8">
      <c r="B136" s="1" t="s">
        <v>300</v>
      </c>
      <c r="C136" s="1">
        <f>C60</f>
        <v>-7500</v>
      </c>
    </row>
    <row r="137" spans="2:8" ht="11" customHeight="1">
      <c r="C137" s="11"/>
    </row>
    <row r="138" spans="2:8" ht="11" customHeight="1"/>
    <row r="139" spans="2:8">
      <c r="B139" s="26" t="s">
        <v>256</v>
      </c>
      <c r="C139" s="26">
        <f>C133+C135+C136</f>
        <v>51820</v>
      </c>
      <c r="D139" s="26"/>
      <c r="E139" s="26"/>
      <c r="F139" s="26"/>
    </row>
    <row r="140" spans="2:8">
      <c r="B140"/>
      <c r="C140"/>
      <c r="G140" s="2"/>
      <c r="H140" s="1"/>
    </row>
    <row r="141" spans="2:8">
      <c r="B141" s="1" t="s">
        <v>340</v>
      </c>
      <c r="C141" s="293">
        <f>C49</f>
        <v>0</v>
      </c>
      <c r="G141" s="2"/>
      <c r="H141" s="1"/>
    </row>
    <row r="142" spans="2:8">
      <c r="B142" s="1" t="s">
        <v>354</v>
      </c>
      <c r="C142" s="1">
        <f>-F87</f>
        <v>-20000</v>
      </c>
      <c r="G142" s="2"/>
      <c r="H142" s="1"/>
    </row>
    <row r="143" spans="2:8">
      <c r="B143"/>
      <c r="C143"/>
      <c r="G143" s="2"/>
      <c r="H143" s="1"/>
    </row>
    <row r="144" spans="2:8">
      <c r="B144" t="s">
        <v>242</v>
      </c>
      <c r="C144" s="293">
        <f>C50</f>
        <v>0</v>
      </c>
      <c r="G144" s="2"/>
      <c r="H144" s="1"/>
    </row>
    <row r="145" spans="2:10" ht="11" customHeight="1">
      <c r="B145"/>
      <c r="C145" s="289"/>
      <c r="G145" s="2"/>
      <c r="H145" s="1"/>
    </row>
    <row r="146" spans="2:10" ht="11" customHeight="1">
      <c r="B146"/>
      <c r="C146"/>
      <c r="G146" s="2"/>
      <c r="H146" s="1"/>
    </row>
    <row r="147" spans="2:10">
      <c r="B147" s="358" t="s">
        <v>178</v>
      </c>
      <c r="C147" s="294">
        <f>C139+C141+C142+C144</f>
        <v>31820</v>
      </c>
      <c r="F147" s="26"/>
      <c r="G147" s="2"/>
      <c r="H147" s="1"/>
      <c r="J147" s="2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3731-5663-AC49-809C-931BBB19AE13}">
  <dimension ref="B3:Q173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6.33203125" customWidth="1"/>
    <col min="7" max="17" width="10.83203125" style="89"/>
  </cols>
  <sheetData>
    <row r="3" spans="2:17" ht="19">
      <c r="B3" s="12"/>
    </row>
    <row r="4" spans="2:17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247"/>
      <c r="N4" s="247"/>
      <c r="O4" s="247"/>
      <c r="P4" s="90"/>
      <c r="Q4" s="90"/>
    </row>
    <row r="5" spans="2:17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248" t="s">
        <v>279</v>
      </c>
      <c r="N5" s="248" t="s">
        <v>280</v>
      </c>
      <c r="O5" s="248" t="s">
        <v>147</v>
      </c>
      <c r="P5" s="70" t="s">
        <v>148</v>
      </c>
      <c r="Q5" s="70" t="s">
        <v>149</v>
      </c>
    </row>
    <row r="6" spans="2:17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249"/>
      <c r="N6" s="249"/>
      <c r="O6" s="249"/>
      <c r="P6" s="92"/>
      <c r="Q6" s="92"/>
    </row>
    <row r="7" spans="2:17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247"/>
      <c r="N7" s="247"/>
      <c r="O7" s="247"/>
      <c r="P7" s="90"/>
      <c r="Q7" s="90"/>
    </row>
    <row r="8" spans="2:17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250">
        <f>'July-2'!C24</f>
        <v>99500</v>
      </c>
      <c r="N8" s="250">
        <f>'August-2'!C24</f>
        <v>84000</v>
      </c>
      <c r="O8" s="250">
        <f>'September-2'!C25</f>
        <v>117500</v>
      </c>
      <c r="P8" s="93">
        <f>'October-2'!C24</f>
        <v>180000</v>
      </c>
      <c r="Q8" s="93">
        <f>'November-2'!C24</f>
        <v>262500</v>
      </c>
    </row>
    <row r="9" spans="2:17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251"/>
      <c r="N9" s="251"/>
      <c r="O9" s="251"/>
      <c r="P9" s="91"/>
      <c r="Q9" s="91"/>
    </row>
    <row r="10" spans="2:17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252">
        <f>'July-2'!C26</f>
        <v>-65950.478418919476</v>
      </c>
      <c r="N10" s="252">
        <f>'August-2'!C26</f>
        <v>-55191.566492690647</v>
      </c>
      <c r="O10" s="252">
        <f>'September-2'!C27</f>
        <v>-77726.372670807454</v>
      </c>
      <c r="P10" s="94">
        <f>'October-2'!C26</f>
        <v>-119133.58136394329</v>
      </c>
      <c r="Q10" s="94">
        <f>'November-2'!C26</f>
        <v>-172495.5701512082</v>
      </c>
    </row>
    <row r="11" spans="2:17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251"/>
      <c r="N11" s="251"/>
      <c r="O11" s="251"/>
      <c r="P11" s="91"/>
      <c r="Q11" s="91"/>
    </row>
    <row r="12" spans="2:17">
      <c r="B12" s="71" t="s">
        <v>108</v>
      </c>
      <c r="C12" s="100">
        <f>C8+C10</f>
        <v>2000</v>
      </c>
      <c r="D12" s="100">
        <f t="shared" ref="D12:P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250">
        <f t="shared" si="0"/>
        <v>33549.521581080524</v>
      </c>
      <c r="N12" s="250">
        <f t="shared" si="0"/>
        <v>28808.433507309353</v>
      </c>
      <c r="O12" s="250">
        <f t="shared" si="0"/>
        <v>39773.627329192546</v>
      </c>
      <c r="P12" s="93">
        <f t="shared" si="0"/>
        <v>60866.418636056711</v>
      </c>
      <c r="Q12" s="93">
        <f t="shared" ref="Q12" si="1">Q8+Q10</f>
        <v>90004.429848791799</v>
      </c>
    </row>
    <row r="13" spans="2:17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251"/>
      <c r="N13" s="251"/>
      <c r="O13" s="251"/>
      <c r="P13" s="91"/>
      <c r="Q13" s="91"/>
    </row>
    <row r="14" spans="2:17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250">
        <f>'July-2'!C30</f>
        <v>-3000</v>
      </c>
      <c r="N14" s="250">
        <f>'August-2'!C30</f>
        <v>-3000</v>
      </c>
      <c r="O14" s="250">
        <f>'September-2'!C31</f>
        <v>-3000</v>
      </c>
      <c r="P14" s="93">
        <f>'October-2'!C30</f>
        <v>-5000</v>
      </c>
      <c r="Q14" s="93">
        <f>'November-2'!C30</f>
        <v>-5000</v>
      </c>
    </row>
    <row r="15" spans="2:17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250">
        <f>'July-2'!C31</f>
        <v>-3900</v>
      </c>
      <c r="N15" s="250">
        <f>'August-2'!C31</f>
        <v>-3900</v>
      </c>
      <c r="O15" s="250">
        <f>'September-2'!C32</f>
        <v>-6500</v>
      </c>
      <c r="P15" s="93">
        <f>'October-2'!C31</f>
        <v>-10400</v>
      </c>
      <c r="Q15" s="93">
        <f>'November-2'!C31</f>
        <v>-10400</v>
      </c>
    </row>
    <row r="16" spans="2:17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250">
        <f>'July-2'!C32</f>
        <v>-1500</v>
      </c>
      <c r="N16" s="250">
        <f>'August-2'!C32</f>
        <v>-1500</v>
      </c>
      <c r="O16" s="250">
        <f>'September-2'!C33</f>
        <v>-6000</v>
      </c>
      <c r="P16" s="93">
        <f>'October-2'!C32</f>
        <v>-7500</v>
      </c>
      <c r="Q16" s="93">
        <f>'November-2'!C32</f>
        <v>-7500</v>
      </c>
    </row>
    <row r="17" spans="2:17">
      <c r="B17" s="71" t="s">
        <v>355</v>
      </c>
      <c r="C17" s="100"/>
      <c r="D17" s="100"/>
      <c r="E17" s="100"/>
      <c r="F17" s="100"/>
      <c r="G17" s="136"/>
      <c r="H17" s="136"/>
      <c r="I17" s="136"/>
      <c r="J17" s="181"/>
      <c r="K17" s="181"/>
      <c r="L17" s="181"/>
      <c r="M17" s="250"/>
      <c r="N17" s="250"/>
      <c r="O17" s="250"/>
      <c r="P17" s="93">
        <f>'October-2'!C33</f>
        <v>-6000</v>
      </c>
      <c r="Q17" s="93">
        <f>'November-2'!C33</f>
        <v>-6000</v>
      </c>
    </row>
    <row r="18" spans="2:17">
      <c r="B18" s="71"/>
      <c r="C18" s="100"/>
      <c r="D18" s="100"/>
      <c r="E18" s="100"/>
      <c r="F18" s="100"/>
      <c r="G18" s="137"/>
      <c r="H18" s="137"/>
      <c r="I18" s="137"/>
      <c r="J18" s="182"/>
      <c r="K18" s="182"/>
      <c r="L18" s="182"/>
      <c r="M18" s="251"/>
      <c r="N18" s="251"/>
      <c r="O18" s="251"/>
      <c r="P18" s="91"/>
      <c r="Q18" s="91"/>
    </row>
    <row r="19" spans="2:17">
      <c r="B19" s="71" t="s">
        <v>181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6">
        <f t="shared" si="2"/>
        <v>4200</v>
      </c>
      <c r="H19" s="136">
        <f t="shared" ref="H19:O19" si="3">H12+H14+H15+H16</f>
        <v>4700</v>
      </c>
      <c r="I19" s="136">
        <f t="shared" si="3"/>
        <v>1900</v>
      </c>
      <c r="J19" s="181">
        <f t="shared" si="3"/>
        <v>6100</v>
      </c>
      <c r="K19" s="181">
        <f t="shared" si="3"/>
        <v>5834.5238095238092</v>
      </c>
      <c r="L19" s="181">
        <f t="shared" si="3"/>
        <v>16347.893772893767</v>
      </c>
      <c r="M19" s="250">
        <f t="shared" si="3"/>
        <v>25149.521581080524</v>
      </c>
      <c r="N19" s="250">
        <f t="shared" si="3"/>
        <v>20408.433507309353</v>
      </c>
      <c r="O19" s="250">
        <f t="shared" si="3"/>
        <v>24273.627329192546</v>
      </c>
      <c r="P19" s="93">
        <f>P12+P14+P15+P16+P17</f>
        <v>31966.418636056711</v>
      </c>
      <c r="Q19" s="93">
        <f>Q12+Q14+Q15+Q16+Q17</f>
        <v>61104.429848791799</v>
      </c>
    </row>
    <row r="20" spans="2:17">
      <c r="B20" s="71" t="s">
        <v>161</v>
      </c>
      <c r="C20" s="99"/>
      <c r="D20" s="99"/>
      <c r="E20" s="99"/>
      <c r="F20" s="99"/>
      <c r="G20" s="138">
        <f>'January-2'!D14</f>
        <v>-4000</v>
      </c>
      <c r="H20" s="138"/>
      <c r="I20" s="138"/>
      <c r="J20" s="183"/>
      <c r="K20" s="183"/>
      <c r="L20" s="183"/>
      <c r="M20" s="252"/>
      <c r="N20" s="252"/>
      <c r="O20" s="252"/>
      <c r="P20" s="94"/>
      <c r="Q20" s="94"/>
    </row>
    <row r="21" spans="2:17">
      <c r="B21" s="71"/>
      <c r="C21" s="100"/>
      <c r="D21" s="100"/>
      <c r="E21" s="100"/>
      <c r="F21" s="100"/>
      <c r="G21" s="136"/>
      <c r="H21" s="136"/>
      <c r="I21" s="136"/>
      <c r="J21" s="181"/>
      <c r="K21" s="181"/>
      <c r="L21" s="181"/>
      <c r="M21" s="250"/>
      <c r="N21" s="250"/>
      <c r="O21" s="250"/>
      <c r="P21" s="93"/>
      <c r="Q21" s="93"/>
    </row>
    <row r="22" spans="2:17">
      <c r="B22" s="71" t="s">
        <v>144</v>
      </c>
      <c r="C22" s="100">
        <f>C19+C20</f>
        <v>1000</v>
      </c>
      <c r="D22" s="100">
        <f t="shared" ref="D22:P22" si="4">D19+D20</f>
        <v>2000</v>
      </c>
      <c r="E22" s="100">
        <f t="shared" si="4"/>
        <v>3700</v>
      </c>
      <c r="F22" s="100">
        <f t="shared" si="4"/>
        <v>6700</v>
      </c>
      <c r="G22" s="139">
        <f t="shared" si="4"/>
        <v>200</v>
      </c>
      <c r="H22" s="139">
        <f t="shared" si="4"/>
        <v>4700</v>
      </c>
      <c r="I22" s="139">
        <f t="shared" si="4"/>
        <v>1900</v>
      </c>
      <c r="J22" s="184">
        <f t="shared" si="4"/>
        <v>6100</v>
      </c>
      <c r="K22" s="184">
        <f t="shared" si="4"/>
        <v>5834.5238095238092</v>
      </c>
      <c r="L22" s="184">
        <f t="shared" si="4"/>
        <v>16347.893772893767</v>
      </c>
      <c r="M22" s="253">
        <f t="shared" si="4"/>
        <v>25149.521581080524</v>
      </c>
      <c r="N22" s="253">
        <f t="shared" si="4"/>
        <v>20408.433507309353</v>
      </c>
      <c r="O22" s="253">
        <f t="shared" si="4"/>
        <v>24273.627329192546</v>
      </c>
      <c r="P22" s="71">
        <f t="shared" si="4"/>
        <v>31966.418636056711</v>
      </c>
      <c r="Q22" s="71">
        <f t="shared" ref="Q22" si="5">Q19+Q20</f>
        <v>61104.429848791799</v>
      </c>
    </row>
    <row r="23" spans="2:17">
      <c r="B23" s="71"/>
      <c r="C23" s="100"/>
      <c r="D23" s="100"/>
      <c r="E23" s="100"/>
      <c r="F23" s="100"/>
      <c r="G23" s="139"/>
      <c r="H23" s="139"/>
      <c r="I23" s="139"/>
      <c r="J23" s="184"/>
      <c r="K23" s="184"/>
      <c r="L23" s="184"/>
      <c r="M23" s="253"/>
      <c r="N23" s="253"/>
      <c r="O23" s="253"/>
      <c r="P23" s="71"/>
      <c r="Q23" s="71"/>
    </row>
    <row r="24" spans="2:17">
      <c r="B24" s="71" t="s">
        <v>263</v>
      </c>
      <c r="C24" s="99"/>
      <c r="D24" s="99"/>
      <c r="E24" s="99"/>
      <c r="F24" s="99"/>
      <c r="G24" s="140"/>
      <c r="H24" s="140"/>
      <c r="I24" s="140"/>
      <c r="J24" s="185">
        <f>'April-2'!D36</f>
        <v>-240</v>
      </c>
      <c r="K24" s="185">
        <f>'May-2'!D36</f>
        <v>-240</v>
      </c>
      <c r="L24" s="185">
        <f>'June-2'!D36</f>
        <v>-240</v>
      </c>
      <c r="M24" s="254">
        <f>'July-2'!C36</f>
        <v>-240</v>
      </c>
      <c r="N24" s="254">
        <f>'August-2'!C36</f>
        <v>-240</v>
      </c>
      <c r="O24" s="254">
        <f>'September-2'!C37</f>
        <v>-240</v>
      </c>
      <c r="P24" s="72">
        <f>'October-2'!C37</f>
        <v>-1240</v>
      </c>
      <c r="Q24" s="72">
        <f>'November-2'!C37</f>
        <v>-1240</v>
      </c>
    </row>
    <row r="25" spans="2:17">
      <c r="B25" s="71"/>
      <c r="C25" s="100"/>
      <c r="D25" s="100"/>
      <c r="E25" s="100"/>
      <c r="F25" s="100"/>
      <c r="G25" s="139"/>
      <c r="H25" s="139"/>
      <c r="I25" s="139"/>
      <c r="J25" s="184"/>
      <c r="K25" s="184"/>
      <c r="L25" s="184"/>
      <c r="M25" s="253"/>
      <c r="N25" s="253"/>
      <c r="O25" s="253"/>
      <c r="P25" s="71"/>
      <c r="Q25" s="71"/>
    </row>
    <row r="26" spans="2:17">
      <c r="B26" s="71" t="s">
        <v>264</v>
      </c>
      <c r="C26" s="100"/>
      <c r="D26" s="100"/>
      <c r="E26" s="100"/>
      <c r="F26" s="100"/>
      <c r="G26" s="139"/>
      <c r="H26" s="139"/>
      <c r="I26" s="139"/>
      <c r="J26" s="184">
        <f t="shared" ref="J26:P26" si="6">J22+J24</f>
        <v>5860</v>
      </c>
      <c r="K26" s="184">
        <f t="shared" si="6"/>
        <v>5594.5238095238092</v>
      </c>
      <c r="L26" s="184">
        <f t="shared" si="6"/>
        <v>16107.893772893767</v>
      </c>
      <c r="M26" s="253">
        <f t="shared" si="6"/>
        <v>24909.521581080524</v>
      </c>
      <c r="N26" s="253">
        <f t="shared" si="6"/>
        <v>20168.433507309353</v>
      </c>
      <c r="O26" s="253">
        <f t="shared" si="6"/>
        <v>24033.627329192546</v>
      </c>
      <c r="P26" s="71">
        <f t="shared" si="6"/>
        <v>30726.418636056711</v>
      </c>
      <c r="Q26" s="71">
        <f t="shared" ref="Q26" si="7">Q22+Q24</f>
        <v>59864.429848791799</v>
      </c>
    </row>
    <row r="27" spans="2:17">
      <c r="B27" s="71"/>
      <c r="C27" s="100"/>
      <c r="D27" s="100"/>
      <c r="E27" s="100"/>
      <c r="F27" s="100"/>
      <c r="G27" s="137"/>
      <c r="H27" s="137"/>
      <c r="I27" s="137"/>
      <c r="J27" s="182"/>
      <c r="K27" s="182"/>
      <c r="L27" s="182"/>
      <c r="M27" s="251"/>
      <c r="N27" s="251"/>
      <c r="O27" s="251"/>
      <c r="P27" s="91"/>
      <c r="Q27" s="91"/>
    </row>
    <row r="28" spans="2:17">
      <c r="B28" s="71" t="s">
        <v>265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0">
        <f t="shared" si="8"/>
        <v>-40</v>
      </c>
      <c r="H28" s="140">
        <f t="shared" si="8"/>
        <v>-940</v>
      </c>
      <c r="I28" s="140">
        <f t="shared" si="8"/>
        <v>-380</v>
      </c>
      <c r="J28" s="185">
        <f>'April-2'!D40</f>
        <v>-1172</v>
      </c>
      <c r="K28" s="185">
        <f>'May-2'!D40</f>
        <v>-1118.9047619047619</v>
      </c>
      <c r="L28" s="185">
        <f>'June-2'!D40</f>
        <v>-3221.5787545787534</v>
      </c>
      <c r="M28" s="254">
        <f>'July-2'!C40</f>
        <v>-4981.9043162161051</v>
      </c>
      <c r="N28" s="254">
        <f>'August-2'!C40</f>
        <v>-4033.6867014618711</v>
      </c>
      <c r="O28" s="254">
        <f>'September-2'!C41</f>
        <v>-4806.7254658385091</v>
      </c>
      <c r="P28" s="72">
        <f>'October-2'!C41</f>
        <v>-6145.2837272113429</v>
      </c>
      <c r="Q28" s="72">
        <f>'November-2'!C41</f>
        <v>-11972.885969758361</v>
      </c>
    </row>
    <row r="29" spans="2:17">
      <c r="B29" s="71"/>
      <c r="C29" s="100"/>
      <c r="D29" s="100"/>
      <c r="E29" s="100"/>
      <c r="F29" s="100"/>
      <c r="G29" s="137"/>
      <c r="H29" s="137"/>
      <c r="I29" s="137"/>
      <c r="J29" s="182"/>
      <c r="K29" s="182"/>
      <c r="L29" s="182"/>
      <c r="M29" s="251"/>
      <c r="N29" s="251"/>
      <c r="O29" s="251"/>
      <c r="P29" s="91"/>
      <c r="Q29" s="91"/>
    </row>
    <row r="30" spans="2:17">
      <c r="B30" s="71" t="s">
        <v>167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39">
        <f t="shared" si="9"/>
        <v>160</v>
      </c>
      <c r="H30" s="139">
        <f t="shared" si="9"/>
        <v>3760</v>
      </c>
      <c r="I30" s="139">
        <f t="shared" si="9"/>
        <v>1520</v>
      </c>
      <c r="J30" s="184">
        <f t="shared" ref="J30:P30" si="10">J26+J28</f>
        <v>4688</v>
      </c>
      <c r="K30" s="184">
        <f t="shared" si="10"/>
        <v>4475.6190476190477</v>
      </c>
      <c r="L30" s="184">
        <f t="shared" si="10"/>
        <v>12886.315018315014</v>
      </c>
      <c r="M30" s="253">
        <f t="shared" si="10"/>
        <v>19927.617264864421</v>
      </c>
      <c r="N30" s="253">
        <f t="shared" si="10"/>
        <v>16134.746805847482</v>
      </c>
      <c r="O30" s="253">
        <f t="shared" si="10"/>
        <v>19226.901863354036</v>
      </c>
      <c r="P30" s="71">
        <f t="shared" si="10"/>
        <v>24581.134908845368</v>
      </c>
      <c r="Q30" s="71">
        <f t="shared" ref="Q30" si="11">Q26+Q28</f>
        <v>47891.543879033437</v>
      </c>
    </row>
    <row r="31" spans="2:17">
      <c r="B31" s="53"/>
      <c r="C31" s="104"/>
      <c r="D31" s="104"/>
      <c r="E31" s="104"/>
      <c r="F31" s="104"/>
      <c r="G31" s="135"/>
      <c r="H31" s="135"/>
      <c r="I31" s="135"/>
      <c r="J31" s="180"/>
      <c r="K31" s="180"/>
      <c r="L31" s="180"/>
      <c r="M31" s="249"/>
      <c r="N31" s="249"/>
      <c r="O31" s="249"/>
      <c r="P31" s="92"/>
      <c r="Q31" s="92"/>
    </row>
    <row r="47" spans="2:17">
      <c r="B47" s="50"/>
      <c r="C47" s="102"/>
      <c r="D47" s="102"/>
      <c r="E47" s="102"/>
      <c r="F47" s="102"/>
      <c r="G47" s="133"/>
      <c r="H47" s="133"/>
      <c r="I47" s="133"/>
      <c r="J47" s="178"/>
      <c r="K47" s="178"/>
      <c r="L47" s="178"/>
      <c r="M47" s="247"/>
      <c r="N47" s="247"/>
      <c r="O47" s="247"/>
      <c r="P47" s="90"/>
      <c r="Q47" s="90"/>
    </row>
    <row r="48" spans="2:17" ht="19">
      <c r="B48" s="80" t="s">
        <v>21</v>
      </c>
      <c r="C48" s="103" t="s">
        <v>147</v>
      </c>
      <c r="D48" s="103" t="s">
        <v>148</v>
      </c>
      <c r="E48" s="103" t="s">
        <v>149</v>
      </c>
      <c r="F48" s="103" t="s">
        <v>150</v>
      </c>
      <c r="G48" s="134" t="s">
        <v>171</v>
      </c>
      <c r="H48" s="134" t="s">
        <v>190</v>
      </c>
      <c r="I48" s="134" t="s">
        <v>192</v>
      </c>
      <c r="J48" s="179" t="s">
        <v>195</v>
      </c>
      <c r="K48" s="179" t="s">
        <v>196</v>
      </c>
      <c r="L48" s="179" t="s">
        <v>197</v>
      </c>
      <c r="M48" s="248" t="s">
        <v>279</v>
      </c>
      <c r="N48" s="248" t="s">
        <v>280</v>
      </c>
      <c r="O48" s="248" t="s">
        <v>147</v>
      </c>
      <c r="P48" s="70" t="s">
        <v>148</v>
      </c>
      <c r="Q48" s="70" t="str">
        <f t="shared" ref="Q48" si="12">Q5</f>
        <v>November</v>
      </c>
    </row>
    <row r="49" spans="2:17">
      <c r="B49" s="53"/>
      <c r="C49" s="104"/>
      <c r="D49" s="104"/>
      <c r="E49" s="104"/>
      <c r="F49" s="104"/>
      <c r="G49" s="135"/>
      <c r="H49" s="135"/>
      <c r="I49" s="135"/>
      <c r="J49" s="180"/>
      <c r="K49" s="180"/>
      <c r="L49" s="180"/>
      <c r="M49" s="249"/>
      <c r="N49" s="249"/>
      <c r="O49" s="249"/>
      <c r="P49" s="92"/>
      <c r="Q49" s="92"/>
    </row>
    <row r="50" spans="2:17">
      <c r="B50" s="50"/>
      <c r="C50" s="102"/>
      <c r="D50" s="102"/>
      <c r="E50" s="102"/>
      <c r="F50" s="102"/>
      <c r="G50" s="133"/>
      <c r="H50" s="133"/>
      <c r="I50" s="133"/>
      <c r="J50" s="178"/>
      <c r="K50" s="178"/>
      <c r="L50" s="178"/>
      <c r="M50" s="247"/>
      <c r="N50" s="247"/>
      <c r="O50" s="247"/>
      <c r="P50" s="90"/>
      <c r="Q50" s="90"/>
    </row>
    <row r="51" spans="2:17">
      <c r="B51" s="71" t="s">
        <v>65</v>
      </c>
      <c r="C51" s="105">
        <f t="shared" ref="C51:P51" si="13">C8/C$8</f>
        <v>1</v>
      </c>
      <c r="D51" s="105">
        <f t="shared" si="13"/>
        <v>1</v>
      </c>
      <c r="E51" s="105">
        <f t="shared" si="13"/>
        <v>1</v>
      </c>
      <c r="F51" s="105">
        <f t="shared" si="13"/>
        <v>1</v>
      </c>
      <c r="G51" s="141">
        <f t="shared" si="13"/>
        <v>1</v>
      </c>
      <c r="H51" s="141">
        <f t="shared" si="13"/>
        <v>1</v>
      </c>
      <c r="I51" s="141">
        <f t="shared" si="13"/>
        <v>1</v>
      </c>
      <c r="J51" s="186">
        <f t="shared" si="13"/>
        <v>1</v>
      </c>
      <c r="K51" s="186">
        <f t="shared" si="13"/>
        <v>1</v>
      </c>
      <c r="L51" s="186">
        <f t="shared" si="13"/>
        <v>1</v>
      </c>
      <c r="M51" s="255">
        <f t="shared" si="13"/>
        <v>1</v>
      </c>
      <c r="N51" s="255">
        <f t="shared" si="13"/>
        <v>1</v>
      </c>
      <c r="O51" s="255">
        <f t="shared" si="13"/>
        <v>1</v>
      </c>
      <c r="P51" s="295">
        <f t="shared" si="13"/>
        <v>1</v>
      </c>
      <c r="Q51" s="295">
        <f t="shared" ref="Q51" si="14">Q8/Q$8</f>
        <v>1</v>
      </c>
    </row>
    <row r="52" spans="2:17">
      <c r="B52" s="71"/>
      <c r="C52" s="100"/>
      <c r="D52" s="100"/>
      <c r="E52" s="100"/>
      <c r="F52" s="100"/>
      <c r="G52" s="136"/>
      <c r="H52" s="136"/>
      <c r="I52" s="136"/>
      <c r="J52" s="181"/>
      <c r="K52" s="181"/>
      <c r="L52" s="181"/>
      <c r="M52" s="250"/>
      <c r="N52" s="250"/>
      <c r="O52" s="250"/>
      <c r="P52" s="93"/>
      <c r="Q52" s="93"/>
    </row>
    <row r="53" spans="2:17">
      <c r="B53" s="71" t="s">
        <v>187</v>
      </c>
      <c r="C53" s="106">
        <f t="shared" ref="C53:P53" si="15">C10/C$8</f>
        <v>-0.66666666666666663</v>
      </c>
      <c r="D53" s="106">
        <f t="shared" si="15"/>
        <v>-0.72727272727272729</v>
      </c>
      <c r="E53" s="106">
        <f t="shared" si="15"/>
        <v>-0.7407407407407407</v>
      </c>
      <c r="F53" s="106">
        <f t="shared" si="15"/>
        <v>-0.72222222222222221</v>
      </c>
      <c r="G53" s="142">
        <f t="shared" si="15"/>
        <v>-0.72727272727272729</v>
      </c>
      <c r="H53" s="142">
        <f t="shared" si="15"/>
        <v>-0.72463768115942029</v>
      </c>
      <c r="I53" s="142">
        <f t="shared" si="15"/>
        <v>-0.72727272727272729</v>
      </c>
      <c r="J53" s="187">
        <f t="shared" si="15"/>
        <v>-0.72380952380952379</v>
      </c>
      <c r="K53" s="187">
        <f t="shared" si="15"/>
        <v>-0.76471861471861469</v>
      </c>
      <c r="L53" s="187">
        <f t="shared" si="15"/>
        <v>-0.68870573870573881</v>
      </c>
      <c r="M53" s="256">
        <f t="shared" si="15"/>
        <v>-0.66281887858210531</v>
      </c>
      <c r="N53" s="256">
        <f t="shared" si="15"/>
        <v>-0.65704245824631724</v>
      </c>
      <c r="O53" s="256">
        <f t="shared" si="15"/>
        <v>-0.66150104400687193</v>
      </c>
      <c r="P53" s="296">
        <f t="shared" si="15"/>
        <v>-0.66185322979968497</v>
      </c>
      <c r="Q53" s="296">
        <f t="shared" ref="Q53" si="16">Q10/Q$8</f>
        <v>-0.65712598152841217</v>
      </c>
    </row>
    <row r="54" spans="2:17">
      <c r="B54" s="71"/>
      <c r="C54" s="100"/>
      <c r="D54" s="100"/>
      <c r="E54" s="100"/>
      <c r="F54" s="100"/>
      <c r="G54" s="136"/>
      <c r="H54" s="136"/>
      <c r="I54" s="136"/>
      <c r="J54" s="181"/>
      <c r="K54" s="181"/>
      <c r="L54" s="181"/>
      <c r="M54" s="250"/>
      <c r="N54" s="250"/>
      <c r="O54" s="250"/>
      <c r="P54" s="93"/>
      <c r="Q54" s="93"/>
    </row>
    <row r="55" spans="2:17">
      <c r="B55" s="71" t="s">
        <v>108</v>
      </c>
      <c r="C55" s="105">
        <f t="shared" ref="C55:P55" si="17">C12/C$8</f>
        <v>0.33333333333333331</v>
      </c>
      <c r="D55" s="105">
        <f t="shared" si="17"/>
        <v>0.27272727272727271</v>
      </c>
      <c r="E55" s="105">
        <f t="shared" si="17"/>
        <v>0.25925925925925924</v>
      </c>
      <c r="F55" s="105">
        <f t="shared" si="17"/>
        <v>0.27777777777777779</v>
      </c>
      <c r="G55" s="141">
        <f t="shared" si="17"/>
        <v>0.27272727272727271</v>
      </c>
      <c r="H55" s="141">
        <f t="shared" si="17"/>
        <v>0.27536231884057971</v>
      </c>
      <c r="I55" s="141">
        <f t="shared" si="17"/>
        <v>0.27272727272727271</v>
      </c>
      <c r="J55" s="186">
        <f t="shared" si="17"/>
        <v>0.27619047619047621</v>
      </c>
      <c r="K55" s="186">
        <f t="shared" si="17"/>
        <v>0.23528138528138529</v>
      </c>
      <c r="L55" s="186">
        <f t="shared" si="17"/>
        <v>0.31129426129426124</v>
      </c>
      <c r="M55" s="255">
        <f t="shared" si="17"/>
        <v>0.33718112141789469</v>
      </c>
      <c r="N55" s="255">
        <f t="shared" si="17"/>
        <v>0.34295754175368276</v>
      </c>
      <c r="O55" s="255">
        <f t="shared" si="17"/>
        <v>0.33849895599312807</v>
      </c>
      <c r="P55" s="295">
        <f t="shared" si="17"/>
        <v>0.33814677020031508</v>
      </c>
      <c r="Q55" s="295">
        <f t="shared" ref="Q55" si="18">Q12/Q$8</f>
        <v>0.34287401847158783</v>
      </c>
    </row>
    <row r="56" spans="2:17">
      <c r="B56" s="71"/>
      <c r="C56" s="100"/>
      <c r="D56" s="100"/>
      <c r="E56" s="100"/>
      <c r="F56" s="100"/>
      <c r="G56" s="136"/>
      <c r="H56" s="136"/>
      <c r="I56" s="136"/>
      <c r="J56" s="181"/>
      <c r="K56" s="181"/>
      <c r="L56" s="181"/>
      <c r="M56" s="250"/>
      <c r="N56" s="250"/>
      <c r="O56" s="250"/>
      <c r="P56" s="93"/>
      <c r="Q56" s="93"/>
    </row>
    <row r="57" spans="2:17">
      <c r="B57" s="71" t="s">
        <v>99</v>
      </c>
      <c r="C57" s="105">
        <f t="shared" ref="C57:P59" si="19">C14/C$8</f>
        <v>-0.16666666666666666</v>
      </c>
      <c r="D57" s="105">
        <f t="shared" si="19"/>
        <v>-9.0909090909090912E-2</v>
      </c>
      <c r="E57" s="105">
        <f t="shared" si="19"/>
        <v>-7.407407407407407E-2</v>
      </c>
      <c r="F57" s="105">
        <f t="shared" si="19"/>
        <v>-5.5555555555555552E-2</v>
      </c>
      <c r="G57" s="141">
        <f t="shared" si="19"/>
        <v>-7.2727272727272724E-2</v>
      </c>
      <c r="H57" s="141">
        <f t="shared" si="19"/>
        <v>-5.7971014492753624E-2</v>
      </c>
      <c r="I57" s="141">
        <f t="shared" si="19"/>
        <v>-7.792207792207792E-2</v>
      </c>
      <c r="J57" s="186">
        <f t="shared" si="19"/>
        <v>-5.7142857142857141E-2</v>
      </c>
      <c r="K57" s="186">
        <f t="shared" si="19"/>
        <v>-4.9586776859504134E-2</v>
      </c>
      <c r="L57" s="186">
        <f t="shared" si="19"/>
        <v>-3.7735849056603772E-2</v>
      </c>
      <c r="M57" s="255">
        <f t="shared" si="19"/>
        <v>-3.015075376884422E-2</v>
      </c>
      <c r="N57" s="255">
        <f t="shared" si="19"/>
        <v>-3.5714285714285712E-2</v>
      </c>
      <c r="O57" s="255">
        <f t="shared" si="19"/>
        <v>-2.553191489361702E-2</v>
      </c>
      <c r="P57" s="295">
        <f t="shared" si="19"/>
        <v>-2.7777777777777776E-2</v>
      </c>
      <c r="Q57" s="295">
        <f t="shared" ref="Q57" si="20">Q14/Q$8</f>
        <v>-1.9047619047619049E-2</v>
      </c>
    </row>
    <row r="58" spans="2:17">
      <c r="B58" s="71" t="s">
        <v>100</v>
      </c>
      <c r="C58" s="100"/>
      <c r="D58" s="100"/>
      <c r="E58" s="105">
        <f t="shared" si="19"/>
        <v>-4.8148148148148148E-2</v>
      </c>
      <c r="F58" s="105">
        <f t="shared" si="19"/>
        <v>-3.6111111111111108E-2</v>
      </c>
      <c r="G58" s="141">
        <f t="shared" si="19"/>
        <v>-4.7272727272727272E-2</v>
      </c>
      <c r="H58" s="141">
        <f t="shared" si="19"/>
        <v>-3.7681159420289857E-2</v>
      </c>
      <c r="I58" s="141">
        <f t="shared" si="19"/>
        <v>-6.7532467532467527E-2</v>
      </c>
      <c r="J58" s="186">
        <f t="shared" si="19"/>
        <v>-7.4285714285714288E-2</v>
      </c>
      <c r="K58" s="186">
        <f t="shared" si="19"/>
        <v>-6.4462809917355368E-2</v>
      </c>
      <c r="L58" s="186">
        <f t="shared" si="19"/>
        <v>-4.9056603773584909E-2</v>
      </c>
      <c r="M58" s="255">
        <f t="shared" si="19"/>
        <v>-3.9195979899497489E-2</v>
      </c>
      <c r="N58" s="255">
        <f t="shared" si="19"/>
        <v>-4.642857142857143E-2</v>
      </c>
      <c r="O58" s="255">
        <f t="shared" si="19"/>
        <v>-5.5319148936170209E-2</v>
      </c>
      <c r="P58" s="295">
        <f t="shared" si="19"/>
        <v>-5.7777777777777775E-2</v>
      </c>
      <c r="Q58" s="295">
        <f t="shared" ref="Q58" si="21">Q15/Q$8</f>
        <v>-3.9619047619047616E-2</v>
      </c>
    </row>
    <row r="59" spans="2:17">
      <c r="B59" s="71" t="s">
        <v>188</v>
      </c>
      <c r="C59" s="100"/>
      <c r="D59" s="100"/>
      <c r="E59" s="100"/>
      <c r="F59" s="100"/>
      <c r="G59" s="136"/>
      <c r="H59" s="141">
        <f t="shared" si="19"/>
        <v>-4.3478260869565216E-2</v>
      </c>
      <c r="I59" s="141">
        <f t="shared" si="19"/>
        <v>-7.792207792207792E-2</v>
      </c>
      <c r="J59" s="186">
        <f t="shared" si="19"/>
        <v>-2.8571428571428571E-2</v>
      </c>
      <c r="K59" s="186">
        <f t="shared" si="19"/>
        <v>-2.4793388429752067E-2</v>
      </c>
      <c r="L59" s="186">
        <f t="shared" si="19"/>
        <v>-1.8867924528301886E-2</v>
      </c>
      <c r="M59" s="255">
        <f t="shared" si="19"/>
        <v>-1.507537688442211E-2</v>
      </c>
      <c r="N59" s="255">
        <f t="shared" si="19"/>
        <v>-1.7857142857142856E-2</v>
      </c>
      <c r="O59" s="255">
        <f t="shared" si="19"/>
        <v>-5.106382978723404E-2</v>
      </c>
      <c r="P59" s="295">
        <f t="shared" si="19"/>
        <v>-4.1666666666666664E-2</v>
      </c>
      <c r="Q59" s="295">
        <f t="shared" ref="Q59" si="22">Q16/Q$8</f>
        <v>-2.8571428571428571E-2</v>
      </c>
    </row>
    <row r="60" spans="2:17">
      <c r="B60" s="71" t="s">
        <v>355</v>
      </c>
      <c r="C60" s="99"/>
      <c r="D60" s="99"/>
      <c r="E60" s="99"/>
      <c r="F60" s="99"/>
      <c r="G60" s="138"/>
      <c r="H60" s="142"/>
      <c r="I60" s="142"/>
      <c r="J60" s="187"/>
      <c r="K60" s="187"/>
      <c r="L60" s="187"/>
      <c r="M60" s="256"/>
      <c r="N60" s="256"/>
      <c r="O60" s="256"/>
      <c r="P60" s="296">
        <f>P17/P8</f>
        <v>-3.3333333333333333E-2</v>
      </c>
      <c r="Q60" s="296">
        <f>Q17/Q8</f>
        <v>-2.2857142857142857E-2</v>
      </c>
    </row>
    <row r="61" spans="2:17">
      <c r="B61" s="71"/>
      <c r="C61" s="100"/>
      <c r="D61" s="100"/>
      <c r="E61" s="100"/>
      <c r="F61" s="100"/>
      <c r="G61" s="136"/>
      <c r="H61" s="136"/>
      <c r="I61" s="136"/>
      <c r="J61" s="181"/>
      <c r="K61" s="181"/>
      <c r="L61" s="181"/>
      <c r="M61" s="250"/>
      <c r="N61" s="250"/>
      <c r="O61" s="250"/>
      <c r="P61" s="93"/>
      <c r="Q61" s="93"/>
    </row>
    <row r="62" spans="2:17">
      <c r="B62" s="71" t="s">
        <v>22</v>
      </c>
      <c r="C62" s="105">
        <f t="shared" ref="C62:P62" si="23">C19/C$8</f>
        <v>0.16666666666666666</v>
      </c>
      <c r="D62" s="105">
        <f t="shared" si="23"/>
        <v>0.18181818181818182</v>
      </c>
      <c r="E62" s="105">
        <f t="shared" si="23"/>
        <v>0.13703703703703704</v>
      </c>
      <c r="F62" s="105">
        <f t="shared" si="23"/>
        <v>0.18611111111111112</v>
      </c>
      <c r="G62" s="141">
        <f t="shared" si="23"/>
        <v>0.15272727272727274</v>
      </c>
      <c r="H62" s="141">
        <f t="shared" si="23"/>
        <v>0.13623188405797101</v>
      </c>
      <c r="I62" s="141">
        <f t="shared" si="23"/>
        <v>4.9350649350649353E-2</v>
      </c>
      <c r="J62" s="186">
        <f t="shared" si="23"/>
        <v>0.11619047619047619</v>
      </c>
      <c r="K62" s="186">
        <f t="shared" si="23"/>
        <v>9.6438410074773703E-2</v>
      </c>
      <c r="L62" s="186">
        <f t="shared" si="23"/>
        <v>0.20563388393577064</v>
      </c>
      <c r="M62" s="255">
        <f t="shared" si="23"/>
        <v>0.25275901086513092</v>
      </c>
      <c r="N62" s="255">
        <f t="shared" si="23"/>
        <v>0.24295754175368278</v>
      </c>
      <c r="O62" s="255">
        <f t="shared" si="23"/>
        <v>0.20658406237610677</v>
      </c>
      <c r="P62" s="295">
        <f t="shared" si="23"/>
        <v>0.17759121464475949</v>
      </c>
      <c r="Q62" s="295">
        <f t="shared" ref="Q62" si="24">Q19/Q$8</f>
        <v>0.23277878037634972</v>
      </c>
    </row>
    <row r="63" spans="2:17">
      <c r="B63" s="71" t="s">
        <v>24</v>
      </c>
      <c r="C63" s="106"/>
      <c r="D63" s="106"/>
      <c r="E63" s="106"/>
      <c r="F63" s="106"/>
      <c r="G63" s="142">
        <f>G20/G$8</f>
        <v>-0.14545454545454545</v>
      </c>
      <c r="H63" s="142"/>
      <c r="I63" s="142"/>
      <c r="J63" s="187"/>
      <c r="K63" s="187"/>
      <c r="L63" s="187"/>
      <c r="M63" s="256"/>
      <c r="N63" s="256"/>
      <c r="O63" s="256"/>
      <c r="P63" s="296"/>
      <c r="Q63" s="296"/>
    </row>
    <row r="64" spans="2:17">
      <c r="B64" s="71"/>
      <c r="C64" s="105"/>
      <c r="D64" s="105"/>
      <c r="E64" s="105"/>
      <c r="F64" s="105"/>
      <c r="G64" s="141"/>
      <c r="H64" s="141"/>
      <c r="I64" s="141"/>
      <c r="J64" s="186"/>
      <c r="K64" s="186"/>
      <c r="L64" s="186"/>
      <c r="M64" s="255"/>
      <c r="N64" s="255"/>
      <c r="O64" s="255"/>
      <c r="P64" s="295"/>
      <c r="Q64" s="295"/>
    </row>
    <row r="65" spans="2:17">
      <c r="B65" s="71" t="s">
        <v>19</v>
      </c>
      <c r="C65" s="105">
        <f>C62+C63</f>
        <v>0.16666666666666666</v>
      </c>
      <c r="D65" s="105">
        <f t="shared" ref="D65:P65" si="25">D62+D63</f>
        <v>0.18181818181818182</v>
      </c>
      <c r="E65" s="105">
        <f t="shared" si="25"/>
        <v>0.13703703703703704</v>
      </c>
      <c r="F65" s="105">
        <f t="shared" si="25"/>
        <v>0.18611111111111112</v>
      </c>
      <c r="G65" s="143">
        <f t="shared" si="25"/>
        <v>7.2727272727272918E-3</v>
      </c>
      <c r="H65" s="143">
        <f t="shared" si="25"/>
        <v>0.13623188405797101</v>
      </c>
      <c r="I65" s="143">
        <f t="shared" si="25"/>
        <v>4.9350649350649353E-2</v>
      </c>
      <c r="J65" s="188">
        <f t="shared" si="25"/>
        <v>0.11619047619047619</v>
      </c>
      <c r="K65" s="188">
        <f t="shared" si="25"/>
        <v>9.6438410074773703E-2</v>
      </c>
      <c r="L65" s="188">
        <f t="shared" si="25"/>
        <v>0.20563388393577064</v>
      </c>
      <c r="M65" s="257">
        <f t="shared" si="25"/>
        <v>0.25275901086513092</v>
      </c>
      <c r="N65" s="257">
        <f t="shared" si="25"/>
        <v>0.24295754175368278</v>
      </c>
      <c r="O65" s="257">
        <f t="shared" si="25"/>
        <v>0.20658406237610677</v>
      </c>
      <c r="P65" s="107">
        <f t="shared" si="25"/>
        <v>0.17759121464475949</v>
      </c>
      <c r="Q65" s="107">
        <f t="shared" ref="Q65" si="26">Q62+Q63</f>
        <v>0.23277878037634972</v>
      </c>
    </row>
    <row r="66" spans="2:17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257"/>
      <c r="N66" s="257"/>
      <c r="O66" s="257"/>
      <c r="P66" s="107"/>
      <c r="Q66" s="107"/>
    </row>
    <row r="67" spans="2:17">
      <c r="B67" s="71" t="s">
        <v>27</v>
      </c>
      <c r="C67" s="106"/>
      <c r="D67" s="106"/>
      <c r="E67" s="106"/>
      <c r="F67" s="106"/>
      <c r="G67" s="144"/>
      <c r="H67" s="144"/>
      <c r="I67" s="144"/>
      <c r="J67" s="187">
        <f t="shared" ref="J67:P67" si="27">J24/J$8</f>
        <v>-4.5714285714285718E-3</v>
      </c>
      <c r="K67" s="187">
        <f t="shared" si="27"/>
        <v>-3.9669421487603307E-3</v>
      </c>
      <c r="L67" s="187">
        <f t="shared" si="27"/>
        <v>-3.0188679245283017E-3</v>
      </c>
      <c r="M67" s="256">
        <f t="shared" si="27"/>
        <v>-2.4120603015075378E-3</v>
      </c>
      <c r="N67" s="256">
        <f t="shared" si="27"/>
        <v>-2.8571428571428571E-3</v>
      </c>
      <c r="O67" s="256">
        <f t="shared" si="27"/>
        <v>-2.0425531914893616E-3</v>
      </c>
      <c r="P67" s="296">
        <f t="shared" si="27"/>
        <v>-6.8888888888888888E-3</v>
      </c>
      <c r="Q67" s="296">
        <f t="shared" ref="Q67" si="28">Q24/Q$8</f>
        <v>-4.7238095238095242E-3</v>
      </c>
    </row>
    <row r="68" spans="2:17">
      <c r="B68" s="71"/>
      <c r="C68" s="105"/>
      <c r="D68" s="105"/>
      <c r="E68" s="105"/>
      <c r="F68" s="105"/>
      <c r="G68" s="143"/>
      <c r="H68" s="143"/>
      <c r="I68" s="143"/>
      <c r="J68" s="188"/>
      <c r="K68" s="188"/>
      <c r="L68" s="188"/>
      <c r="M68" s="257"/>
      <c r="N68" s="257"/>
      <c r="O68" s="257"/>
      <c r="P68" s="107"/>
      <c r="Q68" s="107"/>
    </row>
    <row r="69" spans="2:17">
      <c r="B69" s="71" t="s">
        <v>28</v>
      </c>
      <c r="C69" s="105"/>
      <c r="D69" s="105"/>
      <c r="E69" s="105"/>
      <c r="F69" s="105"/>
      <c r="G69" s="143"/>
      <c r="H69" s="143"/>
      <c r="I69" s="143"/>
      <c r="J69" s="188">
        <f t="shared" ref="J69:P69" si="29">J65+J67</f>
        <v>0.11161904761904762</v>
      </c>
      <c r="K69" s="188">
        <f t="shared" si="29"/>
        <v>9.2471467926013379E-2</v>
      </c>
      <c r="L69" s="188">
        <f t="shared" si="29"/>
        <v>0.20261501601124235</v>
      </c>
      <c r="M69" s="257">
        <f t="shared" si="29"/>
        <v>0.25034695056362338</v>
      </c>
      <c r="N69" s="257">
        <f t="shared" si="29"/>
        <v>0.24010039889653992</v>
      </c>
      <c r="O69" s="257">
        <f t="shared" si="29"/>
        <v>0.20454150918461741</v>
      </c>
      <c r="P69" s="107">
        <f t="shared" si="29"/>
        <v>0.1707023257558706</v>
      </c>
      <c r="Q69" s="107">
        <f t="shared" ref="Q69" si="30">Q65+Q67</f>
        <v>0.2280549708525402</v>
      </c>
    </row>
    <row r="70" spans="2:17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250"/>
      <c r="N70" s="250"/>
      <c r="O70" s="250"/>
      <c r="P70" s="93"/>
      <c r="Q70" s="93"/>
    </row>
    <row r="71" spans="2:17">
      <c r="B71" s="71" t="s">
        <v>20</v>
      </c>
      <c r="C71" s="106">
        <f t="shared" ref="C71:P71" si="31">C28/C$8</f>
        <v>-3.3333333333333333E-2</v>
      </c>
      <c r="D71" s="106">
        <f t="shared" si="31"/>
        <v>-3.6363636363636362E-2</v>
      </c>
      <c r="E71" s="106">
        <f t="shared" si="31"/>
        <v>-2.7407407407407408E-2</v>
      </c>
      <c r="F71" s="106">
        <f t="shared" si="31"/>
        <v>-3.7222222222222219E-2</v>
      </c>
      <c r="G71" s="142">
        <f t="shared" si="31"/>
        <v>-1.4545454545454545E-3</v>
      </c>
      <c r="H71" s="142">
        <f t="shared" si="31"/>
        <v>-2.7246376811594204E-2</v>
      </c>
      <c r="I71" s="142">
        <f t="shared" si="31"/>
        <v>-9.870129870129871E-3</v>
      </c>
      <c r="J71" s="187">
        <f t="shared" si="31"/>
        <v>-2.2323809523809524E-2</v>
      </c>
      <c r="K71" s="187">
        <f t="shared" si="31"/>
        <v>-1.8494293585202676E-2</v>
      </c>
      <c r="L71" s="187">
        <f t="shared" si="31"/>
        <v>-4.052300320224847E-2</v>
      </c>
      <c r="M71" s="256">
        <f t="shared" si="31"/>
        <v>-5.0069390112724675E-2</v>
      </c>
      <c r="N71" s="256">
        <f t="shared" si="31"/>
        <v>-4.8020079779307986E-2</v>
      </c>
      <c r="O71" s="256">
        <f t="shared" si="31"/>
        <v>-4.0908301836923483E-2</v>
      </c>
      <c r="P71" s="296">
        <f t="shared" si="31"/>
        <v>-3.4140465151174131E-2</v>
      </c>
      <c r="Q71" s="296">
        <f t="shared" ref="Q71" si="32">Q28/Q$8</f>
        <v>-4.561099417050804E-2</v>
      </c>
    </row>
    <row r="72" spans="2:17">
      <c r="B72" s="71"/>
      <c r="C72" s="100"/>
      <c r="D72" s="100"/>
      <c r="E72" s="100"/>
      <c r="F72" s="100"/>
      <c r="G72" s="136"/>
      <c r="H72" s="136"/>
      <c r="I72" s="136"/>
      <c r="J72" s="181"/>
      <c r="K72" s="181"/>
      <c r="L72" s="181"/>
      <c r="M72" s="250"/>
      <c r="N72" s="250"/>
      <c r="O72" s="250"/>
      <c r="P72" s="93"/>
      <c r="Q72" s="93"/>
    </row>
    <row r="73" spans="2:17">
      <c r="B73" s="71" t="s">
        <v>12</v>
      </c>
      <c r="C73" s="105">
        <f t="shared" ref="C73:I73" si="33">C30/C$8</f>
        <v>0.13333333333333333</v>
      </c>
      <c r="D73" s="105">
        <f t="shared" si="33"/>
        <v>0.14545454545454545</v>
      </c>
      <c r="E73" s="105">
        <f t="shared" si="33"/>
        <v>0.10962962962962963</v>
      </c>
      <c r="F73" s="105">
        <f t="shared" si="33"/>
        <v>0.14888888888888888</v>
      </c>
      <c r="G73" s="141">
        <f t="shared" si="33"/>
        <v>5.8181818181818178E-3</v>
      </c>
      <c r="H73" s="141">
        <f t="shared" si="33"/>
        <v>0.10898550724637682</v>
      </c>
      <c r="I73" s="141">
        <f t="shared" si="33"/>
        <v>3.9480519480519484E-2</v>
      </c>
      <c r="J73" s="186">
        <f t="shared" ref="J73:P73" si="34">J69+J71</f>
        <v>8.9295238095238094E-2</v>
      </c>
      <c r="K73" s="186">
        <f t="shared" si="34"/>
        <v>7.3977174340810706E-2</v>
      </c>
      <c r="L73" s="186">
        <f t="shared" si="34"/>
        <v>0.16209201280899388</v>
      </c>
      <c r="M73" s="255">
        <f t="shared" si="34"/>
        <v>0.2002775604508987</v>
      </c>
      <c r="N73" s="255">
        <f t="shared" si="34"/>
        <v>0.19208031911723195</v>
      </c>
      <c r="O73" s="255">
        <f t="shared" si="34"/>
        <v>0.16363320734769393</v>
      </c>
      <c r="P73" s="295">
        <f t="shared" si="34"/>
        <v>0.13656186060469647</v>
      </c>
      <c r="Q73" s="295">
        <f t="shared" ref="Q73" si="35">Q69+Q71</f>
        <v>0.18244397668203216</v>
      </c>
    </row>
    <row r="74" spans="2:17">
      <c r="B74" s="53"/>
      <c r="C74" s="104"/>
      <c r="D74" s="104"/>
      <c r="E74" s="104"/>
      <c r="F74" s="104"/>
      <c r="G74" s="135"/>
      <c r="H74" s="135"/>
      <c r="I74" s="135"/>
      <c r="J74" s="180"/>
      <c r="K74" s="180"/>
      <c r="L74" s="180"/>
      <c r="M74" s="249"/>
      <c r="N74" s="249"/>
      <c r="O74" s="249"/>
      <c r="P74" s="92"/>
      <c r="Q74" s="92"/>
    </row>
    <row r="90" spans="2:17" s="75" customFormat="1">
      <c r="B90" s="86"/>
      <c r="C90" s="97"/>
      <c r="D90" s="97"/>
      <c r="E90" s="97"/>
      <c r="F90" s="97"/>
      <c r="G90" s="145"/>
      <c r="H90" s="145"/>
      <c r="I90" s="145"/>
      <c r="J90" s="189"/>
      <c r="K90" s="189"/>
      <c r="L90" s="189"/>
      <c r="M90" s="258"/>
      <c r="N90" s="258"/>
      <c r="O90" s="258"/>
      <c r="P90" s="86"/>
      <c r="Q90" s="86"/>
    </row>
    <row r="91" spans="2:17" s="75" customFormat="1" ht="19">
      <c r="B91" s="353" t="s">
        <v>152</v>
      </c>
      <c r="C91" s="103" t="s">
        <v>147</v>
      </c>
      <c r="D91" s="103" t="s">
        <v>148</v>
      </c>
      <c r="E91" s="103" t="s">
        <v>149</v>
      </c>
      <c r="F91" s="103" t="s">
        <v>150</v>
      </c>
      <c r="G91" s="134" t="s">
        <v>171</v>
      </c>
      <c r="H91" s="134" t="s">
        <v>190</v>
      </c>
      <c r="I91" s="134" t="s">
        <v>192</v>
      </c>
      <c r="J91" s="179" t="s">
        <v>195</v>
      </c>
      <c r="K91" s="179" t="s">
        <v>196</v>
      </c>
      <c r="L91" s="179" t="s">
        <v>197</v>
      </c>
      <c r="M91" s="248" t="s">
        <v>279</v>
      </c>
      <c r="N91" s="248" t="s">
        <v>280</v>
      </c>
      <c r="O91" s="248" t="s">
        <v>147</v>
      </c>
      <c r="P91" s="70" t="s">
        <v>148</v>
      </c>
      <c r="Q91" s="83" t="str">
        <f t="shared" ref="Q91" si="36">Q5</f>
        <v>November</v>
      </c>
    </row>
    <row r="92" spans="2:17" s="75" customFormat="1">
      <c r="B92" s="354"/>
      <c r="C92" s="99"/>
      <c r="D92" s="99"/>
      <c r="E92" s="99"/>
      <c r="F92" s="99"/>
      <c r="G92" s="140"/>
      <c r="H92" s="140"/>
      <c r="I92" s="140"/>
      <c r="J92" s="185"/>
      <c r="K92" s="185"/>
      <c r="L92" s="185"/>
      <c r="M92" s="254"/>
      <c r="N92" s="254"/>
      <c r="O92" s="254"/>
      <c r="P92" s="72"/>
      <c r="Q92" s="72"/>
    </row>
    <row r="93" spans="2:17" s="75" customFormat="1">
      <c r="B93" s="355"/>
      <c r="C93" s="97"/>
      <c r="D93" s="97"/>
      <c r="E93" s="97"/>
      <c r="F93" s="97"/>
      <c r="G93" s="145"/>
      <c r="H93" s="145"/>
      <c r="I93" s="145"/>
      <c r="J93" s="189"/>
      <c r="K93" s="189"/>
      <c r="L93" s="189"/>
      <c r="M93" s="258"/>
      <c r="N93" s="258"/>
      <c r="O93" s="258"/>
      <c r="P93" s="86"/>
      <c r="Q93" s="86"/>
    </row>
    <row r="94" spans="2:17" s="75" customFormat="1">
      <c r="B94" s="355" t="s">
        <v>127</v>
      </c>
      <c r="C94" s="100">
        <v>0</v>
      </c>
      <c r="D94" s="100">
        <v>0</v>
      </c>
      <c r="E94" s="100">
        <f>'November-1'!C52</f>
        <v>10000</v>
      </c>
      <c r="F94" s="100">
        <f>'December-1'!C65</f>
        <v>12000</v>
      </c>
      <c r="G94" s="139">
        <f>'January-2'!C73</f>
        <v>4000</v>
      </c>
      <c r="H94" s="139">
        <f>'February-2'!C65</f>
        <v>9000</v>
      </c>
      <c r="I94" s="139">
        <f>'March-2'!C65</f>
        <v>8000</v>
      </c>
      <c r="J94" s="184">
        <f>'April-2'!C100</f>
        <v>14300</v>
      </c>
      <c r="K94" s="184">
        <f>'May-2'!C96</f>
        <v>16854.523809523809</v>
      </c>
      <c r="L94" s="184">
        <f>'June-2'!L36</f>
        <v>21562.417582417584</v>
      </c>
      <c r="M94" s="253">
        <f>'July-2'!C106</f>
        <v>27231.9391634981</v>
      </c>
      <c r="N94" s="253">
        <f>'August-2'!C108</f>
        <v>32060.37267080745</v>
      </c>
      <c r="O94" s="253">
        <f>'September-2'!C109</f>
        <v>42834</v>
      </c>
      <c r="P94" s="71">
        <f>'October-2'!C107</f>
        <v>62180.418636056718</v>
      </c>
      <c r="Q94" s="71">
        <f>'November-2'!C106</f>
        <v>81284.848484848495</v>
      </c>
    </row>
    <row r="95" spans="2:17" s="75" customFormat="1">
      <c r="B95" s="355"/>
      <c r="C95" s="100"/>
      <c r="D95" s="100"/>
      <c r="E95" s="100"/>
      <c r="F95" s="100"/>
      <c r="G95" s="139"/>
      <c r="H95" s="139"/>
      <c r="I95" s="139"/>
      <c r="J95" s="184"/>
      <c r="K95" s="184"/>
      <c r="L95" s="184"/>
      <c r="M95" s="253"/>
      <c r="N95" s="253"/>
      <c r="O95" s="253"/>
      <c r="P95" s="71"/>
      <c r="Q95" s="71"/>
    </row>
    <row r="96" spans="2:17" s="75" customFormat="1">
      <c r="B96" s="355" t="s">
        <v>153</v>
      </c>
      <c r="C96" s="100">
        <v>0</v>
      </c>
      <c r="D96" s="100">
        <f>'October-1'!C43</f>
        <v>5000</v>
      </c>
      <c r="E96" s="100">
        <f>'November-1'!C54</f>
        <v>15000</v>
      </c>
      <c r="F96" s="100">
        <f>'December-1'!C67</f>
        <v>15000</v>
      </c>
      <c r="G96" s="139">
        <f>'January-2'!C75</f>
        <v>12500</v>
      </c>
      <c r="H96" s="139">
        <f>'February-2'!C67</f>
        <v>15000</v>
      </c>
      <c r="I96" s="139">
        <f>'March-2'!C67</f>
        <v>17500</v>
      </c>
      <c r="J96" s="184">
        <f>'April-2'!C101</f>
        <v>22500</v>
      </c>
      <c r="K96" s="184">
        <f>'May-2'!C97</f>
        <v>27500</v>
      </c>
      <c r="L96" s="184">
        <f>'June-2'!L48</f>
        <v>37500</v>
      </c>
      <c r="M96" s="253">
        <f>'July-2'!C107</f>
        <v>42500</v>
      </c>
      <c r="N96" s="253">
        <f>'August-2'!C109</f>
        <v>30000</v>
      </c>
      <c r="O96" s="253">
        <f>'September-2'!C110</f>
        <v>57500</v>
      </c>
      <c r="P96" s="71">
        <f>'October-2'!C108</f>
        <v>75000</v>
      </c>
      <c r="Q96" s="71">
        <f>'November-2'!C107</f>
        <v>112500</v>
      </c>
    </row>
    <row r="97" spans="2:17" s="75" customFormat="1">
      <c r="B97" s="355"/>
      <c r="C97" s="100"/>
      <c r="D97" s="100"/>
      <c r="E97" s="100"/>
      <c r="F97" s="100"/>
      <c r="G97" s="139"/>
      <c r="H97" s="139"/>
      <c r="I97" s="139"/>
      <c r="J97" s="184"/>
      <c r="K97" s="184"/>
      <c r="L97" s="184"/>
      <c r="M97" s="253"/>
      <c r="N97" s="253"/>
      <c r="O97" s="253"/>
      <c r="P97" s="71"/>
      <c r="Q97" s="71"/>
    </row>
    <row r="98" spans="2:17" s="75" customFormat="1">
      <c r="B98" s="355" t="s">
        <v>154</v>
      </c>
      <c r="C98" s="100">
        <v>0</v>
      </c>
      <c r="D98" s="100">
        <f>-'October-1'!E45</f>
        <v>-4000</v>
      </c>
      <c r="E98" s="100">
        <f>-'November-1'!E56</f>
        <v>-15000</v>
      </c>
      <c r="F98" s="100">
        <f>-'December-1'!E70</f>
        <v>-14000</v>
      </c>
      <c r="G98" s="139">
        <f>-'January-2'!E78</f>
        <v>-8000</v>
      </c>
      <c r="H98" s="139">
        <f>-'February-2'!E70</f>
        <v>-15000</v>
      </c>
      <c r="I98" s="139">
        <f>-'March-2'!E70</f>
        <v>-13500</v>
      </c>
      <c r="J98" s="184">
        <f>-'April-2'!E101</f>
        <v>-19400</v>
      </c>
      <c r="K98" s="184">
        <f>-'May-2'!E97</f>
        <v>-20160</v>
      </c>
      <c r="L98" s="184">
        <f>-'June-2'!L54</f>
        <v>-25480</v>
      </c>
      <c r="M98" s="253">
        <f>-'July-2'!E107</f>
        <v>-31560</v>
      </c>
      <c r="N98" s="253">
        <f>-'August-2'!F109</f>
        <v>-25760</v>
      </c>
      <c r="O98" s="253">
        <f>-'September-2'!E110</f>
        <v>-40000</v>
      </c>
      <c r="P98" s="71">
        <f>-'October-2'!G108</f>
        <v>-59240</v>
      </c>
      <c r="Q98" s="71">
        <f>-'November-2'!G107</f>
        <v>-85800</v>
      </c>
    </row>
    <row r="99" spans="2:17" s="75" customFormat="1">
      <c r="B99" s="355"/>
      <c r="C99" s="99"/>
      <c r="D99" s="99"/>
      <c r="E99" s="99"/>
      <c r="F99" s="99"/>
      <c r="G99" s="140"/>
      <c r="H99" s="140"/>
      <c r="I99" s="140"/>
      <c r="J99" s="185"/>
      <c r="K99" s="185"/>
      <c r="L99" s="185"/>
      <c r="M99" s="254"/>
      <c r="N99" s="254"/>
      <c r="O99" s="254"/>
      <c r="P99" s="72"/>
      <c r="Q99" s="72"/>
    </row>
    <row r="100" spans="2:17" s="75" customFormat="1">
      <c r="B100" s="355"/>
      <c r="C100" s="100"/>
      <c r="D100" s="100"/>
      <c r="E100" s="100"/>
      <c r="F100" s="100"/>
      <c r="G100" s="139"/>
      <c r="H100" s="139"/>
      <c r="I100" s="139"/>
      <c r="J100" s="184"/>
      <c r="K100" s="184"/>
      <c r="L100" s="184"/>
      <c r="M100" s="253"/>
      <c r="N100" s="253"/>
      <c r="O100" s="253"/>
      <c r="P100" s="71"/>
      <c r="Q100" s="71"/>
    </row>
    <row r="101" spans="2:17" s="75" customFormat="1">
      <c r="B101" s="356" t="s">
        <v>155</v>
      </c>
      <c r="C101" s="101">
        <f>C94+C96+C98</f>
        <v>0</v>
      </c>
      <c r="D101" s="101">
        <f t="shared" ref="D101:P101" si="37">D94+D96+D98</f>
        <v>1000</v>
      </c>
      <c r="E101" s="101">
        <f t="shared" si="37"/>
        <v>10000</v>
      </c>
      <c r="F101" s="101">
        <f t="shared" si="37"/>
        <v>13000</v>
      </c>
      <c r="G101" s="147">
        <f t="shared" si="37"/>
        <v>8500</v>
      </c>
      <c r="H101" s="147">
        <f t="shared" si="37"/>
        <v>9000</v>
      </c>
      <c r="I101" s="147">
        <f t="shared" si="37"/>
        <v>12000</v>
      </c>
      <c r="J101" s="191">
        <f t="shared" si="37"/>
        <v>17400</v>
      </c>
      <c r="K101" s="191">
        <f t="shared" si="37"/>
        <v>24194.523809523809</v>
      </c>
      <c r="L101" s="191">
        <f t="shared" si="37"/>
        <v>33582.417582417584</v>
      </c>
      <c r="M101" s="260">
        <f t="shared" si="37"/>
        <v>38171.9391634981</v>
      </c>
      <c r="N101" s="260">
        <f t="shared" si="37"/>
        <v>36300.372670807454</v>
      </c>
      <c r="O101" s="260">
        <f t="shared" si="37"/>
        <v>60334</v>
      </c>
      <c r="P101" s="74">
        <f t="shared" si="37"/>
        <v>77940.418636056711</v>
      </c>
      <c r="Q101" s="74">
        <f t="shared" ref="Q101" si="38">Q94+Q96+Q98</f>
        <v>107984.84848484851</v>
      </c>
    </row>
    <row r="102" spans="2:17" s="75" customFormat="1">
      <c r="B102" s="72"/>
      <c r="C102" s="99"/>
      <c r="D102" s="99"/>
      <c r="E102" s="99"/>
      <c r="F102" s="99"/>
      <c r="G102" s="140"/>
      <c r="H102" s="140"/>
      <c r="I102" s="140"/>
      <c r="J102" s="185"/>
      <c r="K102" s="185"/>
      <c r="L102" s="185"/>
      <c r="M102" s="254"/>
      <c r="N102" s="254"/>
      <c r="O102" s="254"/>
      <c r="P102" s="72"/>
      <c r="Q102" s="72"/>
    </row>
    <row r="103" spans="2:17">
      <c r="B103" s="50"/>
      <c r="C103" s="102"/>
      <c r="D103" s="102"/>
      <c r="E103" s="102"/>
      <c r="F103" s="102"/>
      <c r="G103" s="133"/>
      <c r="H103" s="133"/>
      <c r="I103" s="133"/>
      <c r="J103" s="178"/>
      <c r="K103" s="178"/>
      <c r="L103" s="178"/>
      <c r="M103" s="247"/>
      <c r="N103" s="247"/>
      <c r="O103" s="247"/>
      <c r="P103" s="90"/>
      <c r="Q103" s="90"/>
    </row>
    <row r="104" spans="2:17">
      <c r="B104" s="71" t="s">
        <v>144</v>
      </c>
      <c r="C104" s="100">
        <f>C22</f>
        <v>1000</v>
      </c>
      <c r="D104" s="100">
        <f t="shared" ref="D104:L104" si="39">D22</f>
        <v>2000</v>
      </c>
      <c r="E104" s="100">
        <f t="shared" si="39"/>
        <v>3700</v>
      </c>
      <c r="F104" s="100">
        <f t="shared" si="39"/>
        <v>6700</v>
      </c>
      <c r="G104" s="139">
        <f t="shared" si="39"/>
        <v>200</v>
      </c>
      <c r="H104" s="139">
        <f t="shared" si="39"/>
        <v>4700</v>
      </c>
      <c r="I104" s="139">
        <f t="shared" si="39"/>
        <v>1900</v>
      </c>
      <c r="J104" s="184">
        <f t="shared" si="39"/>
        <v>6100</v>
      </c>
      <c r="K104" s="184">
        <f t="shared" si="39"/>
        <v>5834.5238095238092</v>
      </c>
      <c r="L104" s="184">
        <f t="shared" si="39"/>
        <v>16347.893772893767</v>
      </c>
      <c r="M104" s="253">
        <f>'July-2'!C34</f>
        <v>25149.521581080524</v>
      </c>
      <c r="N104" s="253">
        <f>'August-2'!C34</f>
        <v>20408.433507309353</v>
      </c>
      <c r="O104" s="253">
        <f>'September-2'!C35</f>
        <v>24273.627329192546</v>
      </c>
      <c r="P104" s="71">
        <f>'October-2'!C35</f>
        <v>31966.418636056711</v>
      </c>
      <c r="Q104" s="71">
        <f>'November-2'!C35</f>
        <v>61104.429848791799</v>
      </c>
    </row>
    <row r="105" spans="2:17">
      <c r="B105" s="130"/>
      <c r="C105" s="132"/>
      <c r="D105" s="132"/>
      <c r="E105" s="132"/>
      <c r="F105" s="132"/>
      <c r="G105" s="137"/>
      <c r="H105" s="137"/>
      <c r="I105" s="137"/>
      <c r="J105" s="182"/>
      <c r="K105" s="182"/>
      <c r="L105" s="182"/>
      <c r="M105" s="251"/>
      <c r="N105" s="251"/>
      <c r="O105" s="251"/>
      <c r="P105" s="91"/>
      <c r="Q105" s="91"/>
    </row>
    <row r="106" spans="2:17" s="1" customFormat="1">
      <c r="B106" s="71" t="s">
        <v>303</v>
      </c>
      <c r="C106" s="100">
        <v>0</v>
      </c>
      <c r="D106" s="100">
        <v>0</v>
      </c>
      <c r="E106" s="100">
        <v>0</v>
      </c>
      <c r="F106" s="100">
        <v>0</v>
      </c>
      <c r="G106" s="139">
        <v>0</v>
      </c>
      <c r="H106" s="139">
        <v>0</v>
      </c>
      <c r="I106" s="139">
        <v>0</v>
      </c>
      <c r="J106" s="181">
        <f>'April-2'!D116</f>
        <v>1000</v>
      </c>
      <c r="K106" s="181">
        <f>'May-2'!D112</f>
        <v>1000</v>
      </c>
      <c r="L106" s="181">
        <f>'June-2'!D112</f>
        <v>1000</v>
      </c>
      <c r="M106" s="250">
        <f>'July-2'!K14</f>
        <v>1000</v>
      </c>
      <c r="N106" s="250">
        <f>'August-2'!K14</f>
        <v>1000</v>
      </c>
      <c r="O106" s="250">
        <f>'September-2'!L14</f>
        <v>1000</v>
      </c>
      <c r="P106" s="93">
        <f>'October-2'!K12+'October-2'!K13</f>
        <v>6500</v>
      </c>
      <c r="Q106" s="93">
        <f>'November-2'!K12+'November-2'!K13</f>
        <v>6500</v>
      </c>
    </row>
    <row r="107" spans="2:17" s="1" customFormat="1">
      <c r="B107" s="71"/>
      <c r="C107" s="100"/>
      <c r="D107" s="100"/>
      <c r="E107" s="100"/>
      <c r="F107" s="100"/>
      <c r="G107" s="136"/>
      <c r="H107" s="136"/>
      <c r="I107" s="136"/>
      <c r="J107" s="181"/>
      <c r="K107" s="181"/>
      <c r="L107" s="181"/>
      <c r="M107" s="250"/>
      <c r="N107" s="250"/>
      <c r="O107" s="250"/>
      <c r="P107" s="93"/>
      <c r="Q107" s="93"/>
    </row>
    <row r="108" spans="2:17" s="1" customFormat="1" ht="19">
      <c r="B108" s="131" t="s">
        <v>29</v>
      </c>
      <c r="C108" s="100">
        <f>C104+C106</f>
        <v>1000</v>
      </c>
      <c r="D108" s="100">
        <f t="shared" ref="D108:P108" si="40">D104+D106</f>
        <v>2000</v>
      </c>
      <c r="E108" s="100">
        <f t="shared" si="40"/>
        <v>3700</v>
      </c>
      <c r="F108" s="100">
        <f t="shared" si="40"/>
        <v>6700</v>
      </c>
      <c r="G108" s="139">
        <f t="shared" si="40"/>
        <v>200</v>
      </c>
      <c r="H108" s="139">
        <f t="shared" si="40"/>
        <v>4700</v>
      </c>
      <c r="I108" s="139">
        <f t="shared" si="40"/>
        <v>1900</v>
      </c>
      <c r="J108" s="184">
        <f t="shared" si="40"/>
        <v>7100</v>
      </c>
      <c r="K108" s="184">
        <f t="shared" si="40"/>
        <v>6834.5238095238092</v>
      </c>
      <c r="L108" s="184">
        <f t="shared" si="40"/>
        <v>17347.893772893767</v>
      </c>
      <c r="M108" s="253">
        <f t="shared" si="40"/>
        <v>26149.521581080524</v>
      </c>
      <c r="N108" s="253">
        <f t="shared" si="40"/>
        <v>21408.433507309353</v>
      </c>
      <c r="O108" s="253">
        <f t="shared" si="40"/>
        <v>25273.627329192546</v>
      </c>
      <c r="P108" s="71">
        <f t="shared" si="40"/>
        <v>38466.418636056711</v>
      </c>
      <c r="Q108" s="71">
        <f t="shared" ref="Q108" si="41">Q104+Q106</f>
        <v>67604.429848791799</v>
      </c>
    </row>
    <row r="109" spans="2:17" s="1" customFormat="1">
      <c r="B109" s="71"/>
      <c r="C109" s="100"/>
      <c r="D109" s="100"/>
      <c r="E109" s="100"/>
      <c r="F109" s="100"/>
      <c r="G109" s="136"/>
      <c r="H109" s="136"/>
      <c r="I109" s="136"/>
      <c r="J109" s="181"/>
      <c r="K109" s="181"/>
      <c r="L109" s="181"/>
      <c r="M109" s="250"/>
      <c r="N109" s="250"/>
      <c r="O109" s="250"/>
      <c r="P109" s="93"/>
      <c r="Q109" s="93"/>
    </row>
    <row r="110" spans="2:17" s="1" customFormat="1">
      <c r="B110" s="71" t="s">
        <v>274</v>
      </c>
      <c r="C110" s="100">
        <v>0</v>
      </c>
      <c r="D110" s="100">
        <f>-(D101-C101)</f>
        <v>-1000</v>
      </c>
      <c r="E110" s="100">
        <f t="shared" ref="E110:Q110" si="42">-(E101-D101)</f>
        <v>-9000</v>
      </c>
      <c r="F110" s="100">
        <f t="shared" si="42"/>
        <v>-3000</v>
      </c>
      <c r="G110" s="139">
        <f t="shared" si="42"/>
        <v>4500</v>
      </c>
      <c r="H110" s="139">
        <f t="shared" si="42"/>
        <v>-500</v>
      </c>
      <c r="I110" s="139">
        <f t="shared" si="42"/>
        <v>-3000</v>
      </c>
      <c r="J110" s="184">
        <f t="shared" si="42"/>
        <v>-5400</v>
      </c>
      <c r="K110" s="184">
        <f t="shared" si="42"/>
        <v>-6794.5238095238092</v>
      </c>
      <c r="L110" s="184">
        <f t="shared" si="42"/>
        <v>-9387.8937728937744</v>
      </c>
      <c r="M110" s="253">
        <f t="shared" si="42"/>
        <v>-4589.5215810805166</v>
      </c>
      <c r="N110" s="253">
        <f t="shared" si="42"/>
        <v>1871.5664926906466</v>
      </c>
      <c r="O110" s="253">
        <f t="shared" si="42"/>
        <v>-24033.627329192546</v>
      </c>
      <c r="P110" s="71">
        <f t="shared" si="42"/>
        <v>-17606.418636056711</v>
      </c>
      <c r="Q110" s="71">
        <f t="shared" si="42"/>
        <v>-30044.429848791799</v>
      </c>
    </row>
    <row r="111" spans="2:17" s="1" customFormat="1">
      <c r="B111" s="71"/>
      <c r="C111" s="100"/>
      <c r="D111" s="100"/>
      <c r="E111" s="100"/>
      <c r="F111" s="100"/>
      <c r="G111" s="136"/>
      <c r="H111" s="136"/>
      <c r="I111" s="136"/>
      <c r="J111" s="181"/>
      <c r="K111" s="181"/>
      <c r="L111" s="181"/>
      <c r="M111" s="250"/>
      <c r="N111" s="250"/>
      <c r="O111" s="250"/>
      <c r="P111" s="93"/>
      <c r="Q111" s="93"/>
    </row>
    <row r="112" spans="2:17" s="1" customFormat="1" ht="19">
      <c r="B112" s="131" t="s">
        <v>304</v>
      </c>
      <c r="C112" s="100">
        <f>C108+C110</f>
        <v>1000</v>
      </c>
      <c r="D112" s="100">
        <f t="shared" ref="D112:P112" si="43">D108+D110</f>
        <v>1000</v>
      </c>
      <c r="E112" s="100">
        <f t="shared" si="43"/>
        <v>-5300</v>
      </c>
      <c r="F112" s="100">
        <f t="shared" si="43"/>
        <v>3700</v>
      </c>
      <c r="G112" s="139">
        <f t="shared" si="43"/>
        <v>4700</v>
      </c>
      <c r="H112" s="139">
        <f t="shared" si="43"/>
        <v>4200</v>
      </c>
      <c r="I112" s="139">
        <f t="shared" si="43"/>
        <v>-1100</v>
      </c>
      <c r="J112" s="184">
        <f t="shared" si="43"/>
        <v>1700</v>
      </c>
      <c r="K112" s="184">
        <f t="shared" si="43"/>
        <v>40</v>
      </c>
      <c r="L112" s="184">
        <f t="shared" si="43"/>
        <v>7959.9999999999927</v>
      </c>
      <c r="M112" s="253">
        <f t="shared" si="43"/>
        <v>21560.000000000007</v>
      </c>
      <c r="N112" s="253">
        <f t="shared" si="43"/>
        <v>23280</v>
      </c>
      <c r="O112" s="253">
        <f t="shared" si="43"/>
        <v>1240</v>
      </c>
      <c r="P112" s="71">
        <f t="shared" si="43"/>
        <v>20860</v>
      </c>
      <c r="Q112" s="71">
        <f t="shared" ref="Q112" si="44">Q108+Q110</f>
        <v>37560</v>
      </c>
    </row>
    <row r="113" spans="2:17" s="1" customFormat="1">
      <c r="B113" s="72"/>
      <c r="C113" s="99"/>
      <c r="D113" s="99"/>
      <c r="E113" s="99"/>
      <c r="F113" s="99"/>
      <c r="G113" s="138"/>
      <c r="H113" s="138"/>
      <c r="I113" s="138"/>
      <c r="J113" s="183"/>
      <c r="K113" s="183"/>
      <c r="L113" s="183"/>
      <c r="M113" s="252"/>
      <c r="N113" s="252"/>
      <c r="O113" s="252"/>
      <c r="P113" s="94"/>
      <c r="Q113" s="94"/>
    </row>
    <row r="114" spans="2:17">
      <c r="B114" s="86"/>
      <c r="C114" s="97"/>
      <c r="D114" s="97"/>
      <c r="E114" s="97"/>
      <c r="F114" s="97"/>
      <c r="G114" s="241"/>
      <c r="H114" s="241"/>
      <c r="I114" s="241"/>
      <c r="J114" s="243"/>
      <c r="K114" s="243"/>
      <c r="L114" s="243"/>
      <c r="M114" s="261"/>
      <c r="N114" s="261"/>
      <c r="O114" s="261"/>
      <c r="P114" s="235"/>
      <c r="Q114" s="235"/>
    </row>
    <row r="115" spans="2:17">
      <c r="B115" s="83" t="s">
        <v>305</v>
      </c>
      <c r="C115" s="100"/>
      <c r="D115" s="100"/>
      <c r="E115" s="100"/>
      <c r="F115" s="100"/>
      <c r="G115" s="136"/>
      <c r="H115" s="136"/>
      <c r="I115" s="136"/>
      <c r="J115" s="181"/>
      <c r="K115" s="181"/>
      <c r="L115" s="181"/>
      <c r="M115" s="250"/>
      <c r="N115" s="250"/>
      <c r="O115" s="250"/>
      <c r="P115" s="93"/>
      <c r="Q115" s="93"/>
    </row>
    <row r="116" spans="2:17">
      <c r="B116" s="71"/>
      <c r="C116" s="100"/>
      <c r="D116" s="100"/>
      <c r="E116" s="100"/>
      <c r="F116" s="100"/>
      <c r="G116" s="136"/>
      <c r="H116" s="136"/>
      <c r="I116" s="136"/>
      <c r="J116" s="181"/>
      <c r="K116" s="181"/>
      <c r="L116" s="181"/>
      <c r="M116" s="250"/>
      <c r="N116" s="250"/>
      <c r="O116" s="250"/>
      <c r="P116" s="93"/>
      <c r="Q116" s="93"/>
    </row>
    <row r="117" spans="2:17">
      <c r="B117" s="71" t="s">
        <v>306</v>
      </c>
      <c r="C117" s="238">
        <v>0</v>
      </c>
      <c r="D117" s="238">
        <v>0</v>
      </c>
      <c r="E117" s="238">
        <v>0</v>
      </c>
      <c r="F117" s="238">
        <v>0</v>
      </c>
      <c r="G117" s="136">
        <v>0</v>
      </c>
      <c r="H117" s="136">
        <v>0</v>
      </c>
      <c r="I117" s="136">
        <v>0</v>
      </c>
      <c r="J117" s="181">
        <v>0</v>
      </c>
      <c r="K117" s="181">
        <v>0</v>
      </c>
      <c r="L117" s="181">
        <v>0</v>
      </c>
      <c r="M117" s="250">
        <v>0</v>
      </c>
      <c r="N117" s="250">
        <f>'August-2'!C110</f>
        <v>18000</v>
      </c>
      <c r="O117" s="250">
        <f>'September-2'!C111</f>
        <v>15000</v>
      </c>
      <c r="P117" s="93">
        <f>'October-2'!C109</f>
        <v>12000</v>
      </c>
      <c r="Q117" s="93">
        <f>'November-2'!C108</f>
        <v>9000</v>
      </c>
    </row>
    <row r="118" spans="2:17">
      <c r="B118" s="71"/>
      <c r="C118" s="100"/>
      <c r="D118" s="100"/>
      <c r="E118" s="100"/>
      <c r="F118" s="100"/>
      <c r="G118" s="136"/>
      <c r="H118" s="136"/>
      <c r="I118" s="136"/>
      <c r="J118" s="181"/>
      <c r="K118" s="181"/>
      <c r="L118" s="181"/>
      <c r="M118" s="250"/>
      <c r="N118" s="250"/>
      <c r="O118" s="250"/>
      <c r="P118" s="93"/>
      <c r="Q118" s="93"/>
    </row>
    <row r="119" spans="2:17">
      <c r="B119" s="83" t="s">
        <v>309</v>
      </c>
      <c r="C119" s="100"/>
      <c r="D119" s="100"/>
      <c r="E119" s="100"/>
      <c r="F119" s="100"/>
      <c r="G119" s="136"/>
      <c r="H119" s="136"/>
      <c r="I119" s="136"/>
      <c r="J119" s="181"/>
      <c r="K119" s="181"/>
      <c r="L119" s="181"/>
      <c r="M119" s="250"/>
      <c r="N119" s="250"/>
      <c r="O119" s="250"/>
      <c r="P119" s="93"/>
      <c r="Q119" s="93"/>
    </row>
    <row r="120" spans="2:17">
      <c r="B120" s="71"/>
      <c r="C120" s="100"/>
      <c r="D120" s="100"/>
      <c r="E120" s="100"/>
      <c r="F120" s="100"/>
      <c r="G120" s="136"/>
      <c r="H120" s="136"/>
      <c r="I120" s="136"/>
      <c r="J120" s="181"/>
      <c r="K120" s="181"/>
      <c r="L120" s="181"/>
      <c r="M120" s="250"/>
      <c r="N120" s="250"/>
      <c r="O120" s="250"/>
      <c r="P120" s="93"/>
      <c r="Q120" s="93"/>
    </row>
    <row r="121" spans="2:17">
      <c r="B121" s="71" t="s">
        <v>135</v>
      </c>
      <c r="C121" s="238">
        <v>0</v>
      </c>
      <c r="D121" s="238">
        <v>0</v>
      </c>
      <c r="E121" s="100">
        <v>0</v>
      </c>
      <c r="F121" s="100">
        <f>-'December-1'!E69</f>
        <v>-2000</v>
      </c>
      <c r="G121" s="136">
        <f>-'January-2'!E77</f>
        <v>0</v>
      </c>
      <c r="H121" s="136">
        <f>-'February-2'!E69</f>
        <v>0</v>
      </c>
      <c r="I121" s="136">
        <f>-'March-2'!E69</f>
        <v>0</v>
      </c>
      <c r="J121" s="181">
        <f>-'April-2'!E100</f>
        <v>0</v>
      </c>
      <c r="K121" s="181">
        <f>-'May-2'!E96</f>
        <v>0</v>
      </c>
      <c r="L121" s="181">
        <f>-'June-2'!E96</f>
        <v>0</v>
      </c>
      <c r="M121" s="250">
        <f>-'July-2'!E106</f>
        <v>0</v>
      </c>
      <c r="N121" s="250">
        <f>-'August-2'!F108</f>
        <v>0</v>
      </c>
      <c r="O121" s="250">
        <f>-'September-2'!E109</f>
        <v>0</v>
      </c>
      <c r="P121" s="93">
        <f>-'October-2'!G107</f>
        <v>0</v>
      </c>
      <c r="Q121" s="93">
        <f>-'November-2'!G106</f>
        <v>-20000</v>
      </c>
    </row>
    <row r="122" spans="2:17">
      <c r="B122" s="71" t="s">
        <v>145</v>
      </c>
      <c r="C122" s="100">
        <f>-'September-1'!E39*TIS</f>
        <v>-200</v>
      </c>
      <c r="D122" s="100">
        <f>-'October-1'!E41*TIS</f>
        <v>-600</v>
      </c>
      <c r="E122" s="100">
        <f>-'November-1'!E52*TIS</f>
        <v>-1340</v>
      </c>
      <c r="F122" s="100">
        <f>-'December-1'!E71</f>
        <v>-2680</v>
      </c>
      <c r="G122" s="136">
        <f>-'January-2'!E79</f>
        <v>-40</v>
      </c>
      <c r="H122" s="136">
        <f>-'February-2'!E71</f>
        <v>-980</v>
      </c>
      <c r="I122" s="136">
        <f>-'March-2'!E71</f>
        <v>-1360</v>
      </c>
      <c r="J122" s="181">
        <f>-'April-2'!E102</f>
        <v>-2532</v>
      </c>
      <c r="K122" s="181">
        <f>-'May-2'!E98</f>
        <v>-3650.9047619047619</v>
      </c>
      <c r="L122" s="181">
        <f>-'June-2'!E98</f>
        <v>-6872.4835164835149</v>
      </c>
      <c r="M122" s="250">
        <f>-'July-2'!E108</f>
        <v>-11854.38783269962</v>
      </c>
      <c r="N122" s="250">
        <f>-'August-2'!F110</f>
        <v>-15888.074534161491</v>
      </c>
      <c r="O122" s="250">
        <f>-'September-2'!E111</f>
        <v>-20694.8</v>
      </c>
      <c r="P122" s="93">
        <f>-'October-2'!G109</f>
        <v>-26840.083727211342</v>
      </c>
      <c r="Q122" s="93">
        <f>-'November-2'!G108</f>
        <v>-38812.969696969703</v>
      </c>
    </row>
    <row r="123" spans="2:17">
      <c r="B123" s="71"/>
      <c r="C123" s="99"/>
      <c r="D123" s="99"/>
      <c r="E123" s="99"/>
      <c r="F123" s="99"/>
      <c r="G123" s="138"/>
      <c r="H123" s="138"/>
      <c r="I123" s="138"/>
      <c r="J123" s="183"/>
      <c r="K123" s="183"/>
      <c r="L123" s="183"/>
      <c r="M123" s="252"/>
      <c r="N123" s="252"/>
      <c r="O123" s="252"/>
      <c r="P123" s="94"/>
      <c r="Q123" s="94"/>
    </row>
    <row r="124" spans="2:17">
      <c r="B124" s="71"/>
      <c r="C124" s="100"/>
      <c r="D124" s="100"/>
      <c r="E124" s="100"/>
      <c r="F124" s="100"/>
      <c r="G124" s="136"/>
      <c r="H124" s="136"/>
      <c r="I124" s="136"/>
      <c r="J124" s="181"/>
      <c r="K124" s="181"/>
      <c r="L124" s="181"/>
      <c r="M124" s="250"/>
      <c r="N124" s="250"/>
      <c r="O124" s="250"/>
      <c r="P124" s="93"/>
      <c r="Q124" s="93"/>
    </row>
    <row r="125" spans="2:17" s="234" customFormat="1">
      <c r="B125" s="74" t="s">
        <v>307</v>
      </c>
      <c r="C125" s="239">
        <f t="shared" ref="C125:M125" si="45">C117+C121+C122</f>
        <v>-200</v>
      </c>
      <c r="D125" s="239">
        <f t="shared" si="45"/>
        <v>-600</v>
      </c>
      <c r="E125" s="239">
        <f t="shared" si="45"/>
        <v>-1340</v>
      </c>
      <c r="F125" s="239">
        <f t="shared" si="45"/>
        <v>-4680</v>
      </c>
      <c r="G125" s="242">
        <f t="shared" si="45"/>
        <v>-40</v>
      </c>
      <c r="H125" s="242">
        <f t="shared" si="45"/>
        <v>-980</v>
      </c>
      <c r="I125" s="242">
        <f t="shared" si="45"/>
        <v>-1360</v>
      </c>
      <c r="J125" s="244">
        <f t="shared" si="45"/>
        <v>-2532</v>
      </c>
      <c r="K125" s="244">
        <f t="shared" si="45"/>
        <v>-3650.9047619047619</v>
      </c>
      <c r="L125" s="244">
        <f t="shared" si="45"/>
        <v>-6872.4835164835149</v>
      </c>
      <c r="M125" s="262">
        <f t="shared" si="45"/>
        <v>-11854.38783269962</v>
      </c>
      <c r="N125" s="262">
        <f>N117+N121+N122</f>
        <v>2111.9254658385089</v>
      </c>
      <c r="O125" s="262">
        <f>O117+O121+O122</f>
        <v>-5694.7999999999993</v>
      </c>
      <c r="P125" s="236">
        <f>P117+P121+P122</f>
        <v>-14840.083727211342</v>
      </c>
      <c r="Q125" s="236">
        <f>Q117+Q121+Q122</f>
        <v>-49812.969696969703</v>
      </c>
    </row>
    <row r="126" spans="2:17">
      <c r="B126" s="72"/>
      <c r="C126" s="240"/>
      <c r="D126" s="240"/>
      <c r="E126" s="240"/>
      <c r="F126" s="240"/>
      <c r="G126" s="138"/>
      <c r="H126" s="138"/>
      <c r="I126" s="138"/>
      <c r="J126" s="183"/>
      <c r="K126" s="183"/>
      <c r="L126" s="183"/>
      <c r="M126" s="252"/>
      <c r="N126" s="252"/>
      <c r="O126" s="252"/>
      <c r="P126" s="94"/>
      <c r="Q126" s="94"/>
    </row>
    <row r="127" spans="2:17">
      <c r="B127" s="71"/>
      <c r="C127" s="238"/>
      <c r="D127" s="238"/>
      <c r="E127" s="238"/>
      <c r="F127" s="238"/>
      <c r="G127" s="136"/>
      <c r="H127" s="136"/>
      <c r="I127" s="136"/>
      <c r="J127" s="181"/>
      <c r="K127" s="181"/>
      <c r="L127" s="181"/>
      <c r="M127" s="250"/>
      <c r="N127" s="250"/>
      <c r="O127" s="250"/>
      <c r="P127" s="93"/>
      <c r="Q127" s="93"/>
    </row>
    <row r="128" spans="2:17" ht="19">
      <c r="B128" s="80" t="s">
        <v>152</v>
      </c>
      <c r="C128" s="239">
        <f t="shared" ref="C128:M128" si="46">C101+C125</f>
        <v>-200</v>
      </c>
      <c r="D128" s="239">
        <f t="shared" si="46"/>
        <v>400</v>
      </c>
      <c r="E128" s="239">
        <f t="shared" si="46"/>
        <v>8660</v>
      </c>
      <c r="F128" s="239">
        <f t="shared" si="46"/>
        <v>8320</v>
      </c>
      <c r="G128" s="242">
        <f t="shared" si="46"/>
        <v>8460</v>
      </c>
      <c r="H128" s="242">
        <f t="shared" si="46"/>
        <v>8020</v>
      </c>
      <c r="I128" s="242">
        <f t="shared" si="46"/>
        <v>10640</v>
      </c>
      <c r="J128" s="244">
        <f t="shared" si="46"/>
        <v>14868</v>
      </c>
      <c r="K128" s="244">
        <f t="shared" si="46"/>
        <v>20543.619047619046</v>
      </c>
      <c r="L128" s="244">
        <f t="shared" si="46"/>
        <v>26709.934065934067</v>
      </c>
      <c r="M128" s="262">
        <f t="shared" si="46"/>
        <v>26317.55133079848</v>
      </c>
      <c r="N128" s="262">
        <f>N101+N125</f>
        <v>38412.298136645964</v>
      </c>
      <c r="O128" s="262">
        <f>O101+O125</f>
        <v>54639.199999999997</v>
      </c>
      <c r="P128" s="236">
        <f>P101+P125</f>
        <v>63100.334908845369</v>
      </c>
      <c r="Q128" s="236">
        <f>Q101+Q125</f>
        <v>58171.878787878806</v>
      </c>
    </row>
    <row r="129" spans="2:17">
      <c r="B129" s="72"/>
      <c r="C129" s="99"/>
      <c r="D129" s="99"/>
      <c r="E129" s="99"/>
      <c r="F129" s="99"/>
      <c r="G129" s="138"/>
      <c r="H129" s="138"/>
      <c r="I129" s="138"/>
      <c r="J129" s="183"/>
      <c r="K129" s="183"/>
      <c r="L129" s="183"/>
      <c r="M129" s="252"/>
      <c r="N129" s="252"/>
      <c r="O129" s="252"/>
      <c r="P129" s="94"/>
      <c r="Q129" s="94"/>
    </row>
    <row r="130" spans="2:17">
      <c r="B130" s="50"/>
      <c r="C130" s="102"/>
      <c r="D130" s="102"/>
      <c r="E130" s="102"/>
      <c r="F130" s="102"/>
      <c r="G130" s="133"/>
      <c r="H130" s="133"/>
      <c r="I130" s="133"/>
      <c r="J130" s="178"/>
      <c r="K130" s="178"/>
      <c r="L130" s="178"/>
      <c r="M130" s="247"/>
      <c r="N130" s="247"/>
      <c r="O130" s="247"/>
      <c r="P130" s="90"/>
      <c r="Q130" s="90"/>
    </row>
    <row r="131" spans="2:17" ht="16" customHeight="1">
      <c r="B131" s="130" t="s">
        <v>308</v>
      </c>
      <c r="C131" s="238">
        <f>C128</f>
        <v>-200</v>
      </c>
      <c r="D131" s="238">
        <f t="shared" ref="D131:M131" si="47">D128-C128</f>
        <v>600</v>
      </c>
      <c r="E131" s="238">
        <f t="shared" si="47"/>
        <v>8260</v>
      </c>
      <c r="F131" s="238">
        <f t="shared" si="47"/>
        <v>-340</v>
      </c>
      <c r="G131" s="136">
        <f t="shared" si="47"/>
        <v>140</v>
      </c>
      <c r="H131" s="136">
        <f t="shared" si="47"/>
        <v>-440</v>
      </c>
      <c r="I131" s="136">
        <f t="shared" si="47"/>
        <v>2620</v>
      </c>
      <c r="J131" s="181">
        <f t="shared" si="47"/>
        <v>4228</v>
      </c>
      <c r="K131" s="181">
        <f t="shared" si="47"/>
        <v>5675.6190476190459</v>
      </c>
      <c r="L131" s="181">
        <f t="shared" si="47"/>
        <v>6166.315018315021</v>
      </c>
      <c r="M131" s="250">
        <f t="shared" si="47"/>
        <v>-392.3827351355867</v>
      </c>
      <c r="N131" s="250">
        <f>N128-M128</f>
        <v>12094.746805847484</v>
      </c>
      <c r="O131" s="250">
        <f>O128-N128</f>
        <v>16226.901863354033</v>
      </c>
      <c r="P131" s="93">
        <f>P128-O128</f>
        <v>8461.1349088453717</v>
      </c>
      <c r="Q131" s="93">
        <f>Q128-P128</f>
        <v>-4928.4561209665626</v>
      </c>
    </row>
    <row r="132" spans="2:17">
      <c r="B132" s="53"/>
      <c r="C132" s="104"/>
      <c r="D132" s="104"/>
      <c r="E132" s="104"/>
      <c r="F132" s="104"/>
      <c r="G132" s="135"/>
      <c r="H132" s="135"/>
      <c r="I132" s="135"/>
      <c r="J132" s="180"/>
      <c r="K132" s="180"/>
      <c r="L132" s="180"/>
      <c r="M132" s="249"/>
      <c r="N132" s="249"/>
      <c r="O132" s="249"/>
      <c r="P132" s="92"/>
      <c r="Q132" s="92"/>
    </row>
    <row r="133" spans="2:17" ht="16" customHeight="1"/>
    <row r="134" spans="2:17" ht="16" customHeight="1"/>
    <row r="135" spans="2:17" ht="16" customHeight="1">
      <c r="B135" s="86"/>
      <c r="C135" s="86"/>
      <c r="D135" s="86"/>
      <c r="E135" s="86"/>
    </row>
    <row r="136" spans="2:17" ht="16" customHeight="1">
      <c r="B136" s="80" t="s">
        <v>323</v>
      </c>
      <c r="C136" s="83" t="str">
        <f>O91</f>
        <v>September</v>
      </c>
      <c r="D136" s="83" t="str">
        <f>P91</f>
        <v>October</v>
      </c>
      <c r="E136" s="83" t="str">
        <f>Q91</f>
        <v>November</v>
      </c>
    </row>
    <row r="137" spans="2:17" ht="16" customHeight="1">
      <c r="B137" s="72"/>
      <c r="C137" s="72"/>
      <c r="D137" s="72"/>
      <c r="E137" s="72"/>
    </row>
    <row r="138" spans="2:17" ht="16" customHeight="1">
      <c r="B138" s="86"/>
      <c r="C138" s="86"/>
      <c r="D138" s="86"/>
      <c r="E138" s="86"/>
    </row>
    <row r="139" spans="2:17" ht="16" customHeight="1">
      <c r="B139" s="355" t="s">
        <v>127</v>
      </c>
      <c r="C139" s="71">
        <f>O94</f>
        <v>42834</v>
      </c>
      <c r="D139" s="71">
        <f>P94</f>
        <v>62180.418636056718</v>
      </c>
      <c r="E139" s="71">
        <f>Q94</f>
        <v>81284.848484848495</v>
      </c>
    </row>
    <row r="140" spans="2:17" ht="16" customHeight="1">
      <c r="B140" s="355"/>
      <c r="C140" s="71"/>
      <c r="D140" s="71"/>
      <c r="E140" s="71"/>
    </row>
    <row r="141" spans="2:17" ht="16" customHeight="1">
      <c r="B141" s="355" t="s">
        <v>153</v>
      </c>
      <c r="C141" s="71">
        <f>O96</f>
        <v>57500</v>
      </c>
      <c r="D141" s="71">
        <f>P96</f>
        <v>75000</v>
      </c>
      <c r="E141" s="71">
        <f>Q96</f>
        <v>112500</v>
      </c>
    </row>
    <row r="142" spans="2:17" ht="16" customHeight="1">
      <c r="B142" s="355"/>
      <c r="C142" s="71"/>
      <c r="D142" s="71"/>
      <c r="E142" s="71"/>
    </row>
    <row r="143" spans="2:17" ht="16" customHeight="1">
      <c r="B143" s="355" t="s">
        <v>154</v>
      </c>
      <c r="C143" s="71">
        <f>O98</f>
        <v>-40000</v>
      </c>
      <c r="D143" s="71">
        <f>P98</f>
        <v>-59240</v>
      </c>
      <c r="E143" s="71">
        <f>Q98</f>
        <v>-85800</v>
      </c>
    </row>
    <row r="144" spans="2:17" ht="16" customHeight="1">
      <c r="B144" s="71"/>
      <c r="C144" s="72"/>
      <c r="D144" s="72"/>
      <c r="E144" s="72"/>
    </row>
    <row r="145" spans="2:6" ht="16" customHeight="1">
      <c r="B145" s="71"/>
      <c r="C145" s="71"/>
      <c r="D145" s="71"/>
      <c r="E145" s="71"/>
    </row>
    <row r="146" spans="2:6" ht="16" customHeight="1">
      <c r="B146" s="356" t="s">
        <v>382</v>
      </c>
      <c r="C146" s="74">
        <f>C139+C141+C143</f>
        <v>60334</v>
      </c>
      <c r="D146" s="74">
        <f t="shared" ref="D146:E146" si="48">D139+D141+D143</f>
        <v>77940.418636056711</v>
      </c>
      <c r="E146" s="74">
        <f t="shared" si="48"/>
        <v>107984.84848484851</v>
      </c>
    </row>
    <row r="147" spans="2:6" ht="16" customHeight="1">
      <c r="B147" s="72"/>
      <c r="C147" s="72"/>
      <c r="D147" s="72"/>
      <c r="E147" s="72"/>
    </row>
    <row r="148" spans="2:6" ht="16" customHeight="1">
      <c r="B148" s="86"/>
      <c r="C148" s="235"/>
      <c r="D148" s="235"/>
      <c r="E148" s="235"/>
    </row>
    <row r="149" spans="2:6" ht="16" customHeight="1">
      <c r="B149" s="83" t="s">
        <v>305</v>
      </c>
      <c r="C149" s="93"/>
      <c r="D149" s="93"/>
      <c r="E149" s="93"/>
    </row>
    <row r="150" spans="2:6" ht="16" customHeight="1">
      <c r="B150" s="71"/>
      <c r="C150" s="93"/>
      <c r="D150" s="93"/>
      <c r="E150" s="93"/>
    </row>
    <row r="151" spans="2:6" ht="16" customHeight="1">
      <c r="B151" s="71" t="s">
        <v>306</v>
      </c>
      <c r="C151" s="93">
        <f>O117</f>
        <v>15000</v>
      </c>
      <c r="D151" s="93">
        <f>P117</f>
        <v>12000</v>
      </c>
      <c r="E151" s="93">
        <f>Q117</f>
        <v>9000</v>
      </c>
    </row>
    <row r="152" spans="2:6" ht="16" customHeight="1">
      <c r="B152" s="71"/>
      <c r="C152" s="93"/>
      <c r="D152" s="93"/>
      <c r="E152" s="93"/>
    </row>
    <row r="153" spans="2:6" ht="16" customHeight="1">
      <c r="B153" s="83" t="s">
        <v>309</v>
      </c>
      <c r="C153" s="93"/>
      <c r="D153" s="93"/>
      <c r="E153" s="93"/>
    </row>
    <row r="154" spans="2:6" ht="16" customHeight="1">
      <c r="B154" s="71"/>
      <c r="C154" s="93"/>
      <c r="D154" s="93"/>
      <c r="E154" s="93"/>
    </row>
    <row r="155" spans="2:6" ht="16" customHeight="1">
      <c r="B155" s="71" t="s">
        <v>135</v>
      </c>
      <c r="C155" s="93">
        <f t="shared" ref="C155:E156" si="49">O121</f>
        <v>0</v>
      </c>
      <c r="D155" s="93">
        <f t="shared" si="49"/>
        <v>0</v>
      </c>
      <c r="E155" s="93">
        <f t="shared" si="49"/>
        <v>-20000</v>
      </c>
    </row>
    <row r="156" spans="2:6" ht="16" customHeight="1">
      <c r="B156" s="71" t="s">
        <v>145</v>
      </c>
      <c r="C156" s="93">
        <f t="shared" si="49"/>
        <v>-20694.8</v>
      </c>
      <c r="D156" s="93">
        <f t="shared" si="49"/>
        <v>-26840.083727211342</v>
      </c>
      <c r="E156" s="93">
        <f t="shared" si="49"/>
        <v>-38812.969696969703</v>
      </c>
    </row>
    <row r="157" spans="2:6" ht="16" customHeight="1">
      <c r="B157" s="71"/>
      <c r="C157" s="94"/>
      <c r="D157" s="94"/>
      <c r="E157" s="94"/>
    </row>
    <row r="158" spans="2:6" ht="16" customHeight="1">
      <c r="B158" s="71"/>
      <c r="C158" s="93"/>
      <c r="D158" s="93"/>
      <c r="E158" s="93"/>
      <c r="F158" t="s">
        <v>1</v>
      </c>
    </row>
    <row r="159" spans="2:6" ht="16" customHeight="1">
      <c r="B159" s="74" t="s">
        <v>307</v>
      </c>
      <c r="C159" s="236">
        <f>C151+C155+C156</f>
        <v>-5694.7999999999993</v>
      </c>
      <c r="D159" s="236">
        <f t="shared" ref="D159:E159" si="50">D151+D155+D156</f>
        <v>-14840.083727211342</v>
      </c>
      <c r="E159" s="236">
        <f t="shared" si="50"/>
        <v>-49812.969696969703</v>
      </c>
    </row>
    <row r="160" spans="2:6" ht="16" customHeight="1">
      <c r="B160" s="72"/>
      <c r="C160" s="94"/>
      <c r="D160" s="94"/>
      <c r="E160" s="94"/>
    </row>
    <row r="161" spans="2:5" ht="16" customHeight="1">
      <c r="B161" s="71"/>
      <c r="C161" s="93"/>
      <c r="D161" s="93"/>
      <c r="E161" s="93"/>
    </row>
    <row r="162" spans="2:5" ht="16" customHeight="1">
      <c r="B162" s="80" t="s">
        <v>152</v>
      </c>
      <c r="C162" s="236">
        <f>C146+C159</f>
        <v>54639.199999999997</v>
      </c>
      <c r="D162" s="236">
        <f t="shared" ref="D162:E162" si="51">D146+D159</f>
        <v>63100.334908845369</v>
      </c>
      <c r="E162" s="236">
        <f t="shared" si="51"/>
        <v>58171.878787878806</v>
      </c>
    </row>
    <row r="163" spans="2:5" ht="16" customHeight="1">
      <c r="B163" s="72"/>
      <c r="C163" s="94"/>
      <c r="D163" s="94"/>
      <c r="E163" s="94"/>
    </row>
    <row r="164" spans="2:5" ht="16" customHeight="1"/>
    <row r="165" spans="2:5" ht="16" customHeight="1"/>
    <row r="166" spans="2:5" ht="16" customHeight="1"/>
    <row r="167" spans="2:5" ht="16" customHeight="1"/>
    <row r="168" spans="2:5" ht="16" customHeight="1"/>
    <row r="169" spans="2:5" ht="16" customHeight="1"/>
    <row r="170" spans="2:5" ht="16" customHeight="1"/>
    <row r="171" spans="2:5" ht="16" customHeight="1"/>
    <row r="172" spans="2:5" ht="16" customHeight="1"/>
    <row r="173" spans="2:5" ht="16" customHeight="1"/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DFE0-1AAE-EF43-B12B-93E037B5FA68}">
  <dimension ref="B2:N152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43.83203125" style="1" customWidth="1"/>
    <col min="3" max="3" width="12.33203125" style="1" customWidth="1"/>
    <col min="4" max="4" width="15.5" style="1" customWidth="1"/>
    <col min="5" max="5" width="14.33203125" style="1" customWidth="1"/>
    <col min="6" max="7" width="10.1640625" style="1" customWidth="1"/>
    <col min="8" max="8" width="8.83203125" style="2" customWidth="1"/>
    <col min="9" max="9" width="8.83203125" style="1" customWidth="1"/>
    <col min="10" max="10" width="13.1640625" style="1" customWidth="1"/>
    <col min="11" max="11" width="9.5" style="1" customWidth="1"/>
    <col min="12" max="12" width="9.66406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7" t="s">
        <v>233</v>
      </c>
      <c r="H2" s="1"/>
    </row>
    <row r="3" spans="2:12" ht="19">
      <c r="B3" s="304" t="s">
        <v>115</v>
      </c>
      <c r="C3" s="83" t="s">
        <v>116</v>
      </c>
      <c r="D3" s="83" t="s">
        <v>117</v>
      </c>
      <c r="E3" s="2"/>
      <c r="G3" s="229"/>
      <c r="H3" s="1"/>
    </row>
    <row r="4" spans="2:12">
      <c r="C4" s="72"/>
      <c r="D4" s="72"/>
      <c r="F4" s="320"/>
      <c r="G4" s="48"/>
      <c r="H4" s="48"/>
      <c r="I4" s="48"/>
      <c r="J4" s="3"/>
      <c r="K4" s="48"/>
      <c r="L4" s="60"/>
    </row>
    <row r="5" spans="2:12" ht="19">
      <c r="B5" s="86"/>
      <c r="C5" s="71"/>
      <c r="D5" s="71"/>
      <c r="F5" s="177" t="s">
        <v>360</v>
      </c>
      <c r="H5" s="1"/>
      <c r="J5" s="9"/>
      <c r="K5" s="1">
        <v>18000</v>
      </c>
      <c r="L5" s="65"/>
    </row>
    <row r="6" spans="2:12">
      <c r="B6" s="71" t="s">
        <v>259</v>
      </c>
      <c r="C6" s="83">
        <v>1</v>
      </c>
      <c r="D6" s="83">
        <f>MAN</f>
        <v>2000</v>
      </c>
      <c r="E6" s="2"/>
      <c r="F6" s="177" t="s">
        <v>269</v>
      </c>
      <c r="H6" s="1"/>
      <c r="I6" s="319">
        <v>0.35</v>
      </c>
      <c r="J6" s="9"/>
      <c r="K6" s="1">
        <f>I6*K5</f>
        <v>6300</v>
      </c>
      <c r="L6" s="61"/>
    </row>
    <row r="7" spans="2:12">
      <c r="B7" s="71"/>
      <c r="C7" s="83"/>
      <c r="D7" s="83"/>
      <c r="E7" s="2"/>
      <c r="F7" s="177" t="s">
        <v>270</v>
      </c>
      <c r="H7" s="1"/>
      <c r="J7" s="9"/>
      <c r="K7" s="1">
        <f>K6+L30-H30</f>
        <v>14750</v>
      </c>
      <c r="L7" s="61"/>
    </row>
    <row r="8" spans="2:12">
      <c r="B8" s="71" t="s">
        <v>35</v>
      </c>
      <c r="C8" s="83">
        <f>'September-2'!C9+'Development plan Q4'!C41</f>
        <v>3</v>
      </c>
      <c r="D8" s="83">
        <f>ADOP</f>
        <v>1000</v>
      </c>
      <c r="E8" s="2"/>
      <c r="F8" s="5"/>
      <c r="H8" s="1"/>
      <c r="J8" s="9"/>
      <c r="L8" s="61"/>
    </row>
    <row r="9" spans="2:12">
      <c r="B9" s="71"/>
      <c r="C9" s="83"/>
      <c r="D9" s="83"/>
      <c r="E9" s="2"/>
      <c r="F9" s="177" t="s">
        <v>266</v>
      </c>
      <c r="H9" s="1"/>
      <c r="J9" s="9"/>
      <c r="K9" s="317">
        <f>K7*CMP</f>
        <v>236000</v>
      </c>
      <c r="L9" s="61"/>
    </row>
    <row r="10" spans="2:12">
      <c r="B10" s="71" t="s">
        <v>65</v>
      </c>
      <c r="C10" s="83">
        <f>'September-2'!C11+'Development plan Q4'!C42</f>
        <v>8</v>
      </c>
      <c r="D10" s="83">
        <f>MKT</f>
        <v>1300</v>
      </c>
      <c r="E10" s="2"/>
      <c r="F10" s="177" t="s">
        <v>235</v>
      </c>
      <c r="H10" s="1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7" t="s">
        <v>236</v>
      </c>
      <c r="H11" s="1"/>
      <c r="J11" s="9"/>
      <c r="K11" s="1">
        <f>C18*ADOP</f>
        <v>16000</v>
      </c>
      <c r="L11" s="61"/>
    </row>
    <row r="12" spans="2:12">
      <c r="B12" s="71" t="s">
        <v>260</v>
      </c>
      <c r="C12" s="83">
        <f>'September-2'!C13+'Development plan Q4'!C43</f>
        <v>3</v>
      </c>
      <c r="D12" s="83">
        <f>ING</f>
        <v>1500</v>
      </c>
      <c r="E12" s="2"/>
      <c r="F12" s="177" t="s">
        <v>348</v>
      </c>
      <c r="G12" s="2"/>
      <c r="H12" s="1"/>
      <c r="J12" s="9"/>
      <c r="K12" s="1">
        <f>'September-2'!C105/'Development plan Q3'!E32</f>
        <v>500</v>
      </c>
      <c r="L12" s="10"/>
    </row>
    <row r="13" spans="2:12">
      <c r="B13" s="71"/>
      <c r="C13" s="71"/>
      <c r="D13" s="71"/>
      <c r="F13" s="177" t="s">
        <v>349</v>
      </c>
      <c r="H13" s="1"/>
      <c r="J13" s="9"/>
      <c r="K13" s="1">
        <f>('Investment project Q2'!C18/'Investment project Q2'!G18)+('Development plan Q4'!C36/'Development plan Q4'!G36)</f>
        <v>6000</v>
      </c>
      <c r="L13" s="61"/>
    </row>
    <row r="14" spans="2:12">
      <c r="B14" s="71" t="s">
        <v>36</v>
      </c>
      <c r="C14" s="83">
        <f>'Development plan Q4'!I20</f>
        <v>7</v>
      </c>
      <c r="D14" s="83">
        <f>ING</f>
        <v>1500</v>
      </c>
      <c r="E14" s="2"/>
      <c r="F14" s="177"/>
      <c r="H14" s="1"/>
      <c r="J14" s="9"/>
      <c r="L14" s="10"/>
    </row>
    <row r="15" spans="2:12">
      <c r="B15" s="71"/>
      <c r="C15" s="83"/>
      <c r="D15" s="83"/>
      <c r="E15" s="2"/>
      <c r="F15" s="9" t="s">
        <v>124</v>
      </c>
      <c r="H15" s="1"/>
      <c r="J15" s="9"/>
      <c r="K15" s="329">
        <f>SUM(K9:K13)</f>
        <v>260000</v>
      </c>
      <c r="L15" s="10"/>
    </row>
    <row r="16" spans="2:12">
      <c r="B16" s="71" t="s">
        <v>25</v>
      </c>
      <c r="C16" s="83"/>
      <c r="D16" s="83"/>
      <c r="E16" s="2"/>
      <c r="F16" s="5"/>
      <c r="H16" s="1"/>
      <c r="J16" s="9"/>
      <c r="L16" s="10"/>
    </row>
    <row r="17" spans="2:13">
      <c r="B17" s="71" t="s">
        <v>261</v>
      </c>
      <c r="C17" s="83">
        <v>1</v>
      </c>
      <c r="D17" s="83">
        <f>ING</f>
        <v>1500</v>
      </c>
      <c r="E17" s="2"/>
      <c r="F17" s="192" t="s">
        <v>237</v>
      </c>
      <c r="H17" s="1"/>
      <c r="J17" s="9"/>
      <c r="K17" s="318">
        <f>K15/K7</f>
        <v>17.627118644067796</v>
      </c>
      <c r="L17" s="19" t="s">
        <v>378</v>
      </c>
    </row>
    <row r="18" spans="2:13">
      <c r="B18" s="71" t="s">
        <v>262</v>
      </c>
      <c r="C18" s="83">
        <f>'Development plan Q4'!F38</f>
        <v>16</v>
      </c>
      <c r="D18" s="83">
        <f>ADOP</f>
        <v>1000</v>
      </c>
      <c r="E18" s="2"/>
      <c r="F18" s="13"/>
      <c r="G18" s="11"/>
      <c r="H18" s="25"/>
      <c r="I18" s="11"/>
      <c r="J18" s="7"/>
      <c r="K18" s="11"/>
      <c r="L18" s="8"/>
    </row>
    <row r="19" spans="2:13">
      <c r="B19" s="72"/>
      <c r="C19" s="72"/>
      <c r="D19" s="72"/>
    </row>
    <row r="20" spans="2:13" ht="19">
      <c r="B20" s="229"/>
      <c r="C20" s="230"/>
      <c r="D20" s="230"/>
      <c r="E20" s="230"/>
      <c r="F20" s="230"/>
    </row>
    <row r="22" spans="2:13" ht="21">
      <c r="B22" s="231" t="s">
        <v>64</v>
      </c>
      <c r="H22" s="1"/>
    </row>
    <row r="23" spans="2:13">
      <c r="F23" s="29"/>
      <c r="G23" s="15"/>
      <c r="H23" s="24" t="s">
        <v>2</v>
      </c>
      <c r="I23" s="17"/>
      <c r="J23" s="29"/>
      <c r="K23" s="15"/>
      <c r="L23" s="24" t="s">
        <v>3</v>
      </c>
      <c r="M23" s="17"/>
    </row>
    <row r="24" spans="2:13">
      <c r="B24" s="1" t="s">
        <v>65</v>
      </c>
      <c r="C24" s="1">
        <f>F24*H24+J24*L24</f>
        <v>360000</v>
      </c>
      <c r="F24" s="9">
        <f>'Development plan Q4'!I9</f>
        <v>7000</v>
      </c>
      <c r="G24" s="2" t="s">
        <v>70</v>
      </c>
      <c r="H24" s="1">
        <f>PVB2C</f>
        <v>30</v>
      </c>
      <c r="I24" s="349" t="s">
        <v>71</v>
      </c>
      <c r="J24" s="9">
        <f>'Development plan Q4'!I10</f>
        <v>6000</v>
      </c>
      <c r="K24" s="2" t="s">
        <v>70</v>
      </c>
      <c r="L24" s="1">
        <f>PVB2B</f>
        <v>25</v>
      </c>
      <c r="M24" s="349" t="s">
        <v>71</v>
      </c>
    </row>
    <row r="25" spans="2:13">
      <c r="F25" s="9"/>
      <c r="G25" s="2"/>
      <c r="H25" s="1"/>
      <c r="I25" s="349"/>
      <c r="J25" s="9"/>
      <c r="K25" s="2"/>
      <c r="M25" s="349"/>
    </row>
    <row r="26" spans="2:13">
      <c r="B26" s="1" t="s">
        <v>66</v>
      </c>
      <c r="C26" s="33">
        <f>-L35</f>
        <v>-230234.00102722138</v>
      </c>
      <c r="F26" s="7">
        <f>F24</f>
        <v>7000</v>
      </c>
      <c r="G26" s="25" t="s">
        <v>70</v>
      </c>
      <c r="H26" s="337">
        <f>K35</f>
        <v>17.710307771324722</v>
      </c>
      <c r="I26" s="350" t="s">
        <v>71</v>
      </c>
      <c r="J26" s="7">
        <f>J24</f>
        <v>6000</v>
      </c>
      <c r="K26" s="25" t="s">
        <v>70</v>
      </c>
      <c r="L26" s="337">
        <f>K35</f>
        <v>17.710307771324722</v>
      </c>
      <c r="M26" s="350" t="s">
        <v>71</v>
      </c>
    </row>
    <row r="27" spans="2:13">
      <c r="H27" s="1"/>
    </row>
    <row r="28" spans="2:13">
      <c r="B28" s="1" t="s">
        <v>67</v>
      </c>
      <c r="C28" s="1">
        <f>C24+C26</f>
        <v>129765.99897277862</v>
      </c>
      <c r="H28" s="1"/>
    </row>
    <row r="29" spans="2:13">
      <c r="F29" s="14"/>
      <c r="G29" s="15"/>
      <c r="H29" s="15"/>
      <c r="I29" s="352" t="s">
        <v>111</v>
      </c>
      <c r="J29" s="15"/>
      <c r="K29" s="15"/>
      <c r="L29" s="17"/>
    </row>
    <row r="30" spans="2:13">
      <c r="B30" s="1" t="s">
        <v>99</v>
      </c>
      <c r="C30" s="1">
        <f>-(C6*MAN+C8*ADOP)</f>
        <v>-5000</v>
      </c>
      <c r="F30" s="5" t="s">
        <v>94</v>
      </c>
      <c r="H30" s="1">
        <f>'November-2'!L31</f>
        <v>4550</v>
      </c>
      <c r="I30" s="1">
        <f>J41</f>
        <v>17.864801864801866</v>
      </c>
      <c r="J30" s="1" t="s">
        <v>65</v>
      </c>
      <c r="L30" s="10">
        <f>F24+J24</f>
        <v>13000</v>
      </c>
    </row>
    <row r="31" spans="2:13">
      <c r="B31" s="1" t="s">
        <v>100</v>
      </c>
      <c r="C31" s="1">
        <f>-C10*MKT</f>
        <v>-10400</v>
      </c>
      <c r="F31" s="13" t="s">
        <v>25</v>
      </c>
      <c r="G31" s="11"/>
      <c r="H31" s="11">
        <f>L30+L31-H30</f>
        <v>14750</v>
      </c>
      <c r="I31" s="11">
        <f>K17</f>
        <v>17.627118644067796</v>
      </c>
      <c r="J31" s="11" t="s">
        <v>90</v>
      </c>
      <c r="K31" s="11"/>
      <c r="L31" s="8">
        <f>K6</f>
        <v>6300</v>
      </c>
    </row>
    <row r="32" spans="2:13">
      <c r="B32" s="31" t="s">
        <v>310</v>
      </c>
      <c r="C32" s="1">
        <f>-C12*ING+'August-2'!C63/'August-2'!C118</f>
        <v>-7500</v>
      </c>
      <c r="F32" s="14" t="s">
        <v>6</v>
      </c>
      <c r="G32" s="15"/>
      <c r="H32" s="15">
        <f>H30+H31</f>
        <v>19300</v>
      </c>
      <c r="I32" s="15"/>
      <c r="J32" s="16" t="s">
        <v>6</v>
      </c>
      <c r="K32" s="15"/>
      <c r="L32" s="17">
        <f>L30+L31</f>
        <v>19300</v>
      </c>
    </row>
    <row r="33" spans="2:12">
      <c r="B33" s="31" t="s">
        <v>355</v>
      </c>
      <c r="C33" s="11">
        <f>-'Development plan Q4'!C45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113</v>
      </c>
      <c r="J34" s="15"/>
      <c r="K34" s="15"/>
      <c r="L34" s="17"/>
    </row>
    <row r="35" spans="2:12">
      <c r="B35" s="1" t="s">
        <v>250</v>
      </c>
      <c r="C35" s="1">
        <f>C28+C31+C30+C32+C33</f>
        <v>100865.99897277862</v>
      </c>
      <c r="F35" s="5" t="s">
        <v>94</v>
      </c>
      <c r="H35" s="1">
        <f>'November-2'!L36</f>
        <v>81284.848484848495</v>
      </c>
      <c r="I35" s="344">
        <f>J41</f>
        <v>17.864801864801866</v>
      </c>
      <c r="J35" s="1" t="s">
        <v>120</v>
      </c>
      <c r="K35" s="346">
        <f>L44</f>
        <v>17.710307771324722</v>
      </c>
      <c r="L35" s="32">
        <f>H35+H36-L36</f>
        <v>230234.00102722138</v>
      </c>
    </row>
    <row r="36" spans="2:12">
      <c r="F36" s="129" t="s">
        <v>119</v>
      </c>
      <c r="G36" s="11"/>
      <c r="H36" s="328">
        <f>K15</f>
        <v>260000</v>
      </c>
      <c r="I36" s="345">
        <f>K17</f>
        <v>17.627118644067796</v>
      </c>
      <c r="J36" s="11" t="s">
        <v>90</v>
      </c>
      <c r="K36" s="345">
        <f>K17</f>
        <v>17.627118644067796</v>
      </c>
      <c r="L36" s="8">
        <f>L31*K17</f>
        <v>111050.84745762711</v>
      </c>
    </row>
    <row r="37" spans="2:12">
      <c r="B37" s="1" t="s">
        <v>238</v>
      </c>
      <c r="C37" s="1">
        <f>-'Investment project Q2'!C82-'Development plan Q4'!C54*'Development plan Q4'!C56/12</f>
        <v>-1240</v>
      </c>
      <c r="F37" s="14" t="s">
        <v>6</v>
      </c>
      <c r="G37" s="15"/>
      <c r="H37" s="15">
        <f>H35+H36</f>
        <v>341284.84848484851</v>
      </c>
      <c r="I37" s="15"/>
      <c r="J37" s="16" t="s">
        <v>6</v>
      </c>
      <c r="K37" s="15"/>
      <c r="L37" s="17">
        <f>L35+L36</f>
        <v>341284.84848484851</v>
      </c>
    </row>
    <row r="38" spans="2:12">
      <c r="H38" s="1"/>
    </row>
    <row r="39" spans="2:12">
      <c r="B39" s="1" t="s">
        <v>239</v>
      </c>
      <c r="C39" s="1">
        <f>C35+C37</f>
        <v>99625.998972778616</v>
      </c>
      <c r="F39" s="29"/>
      <c r="G39" s="15"/>
      <c r="H39" s="15"/>
      <c r="I39" s="24" t="s">
        <v>114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240</v>
      </c>
      <c r="C41" s="11">
        <f>-C39*C83</f>
        <v>-19925.199794555723</v>
      </c>
      <c r="F41" s="177" t="s">
        <v>121</v>
      </c>
      <c r="H41" s="2">
        <f>H30</f>
        <v>4550</v>
      </c>
      <c r="I41" s="1" t="s">
        <v>46</v>
      </c>
      <c r="J41" s="338">
        <f>'November-2'!K17</f>
        <v>17.864801864801866</v>
      </c>
      <c r="K41" s="2" t="s">
        <v>23</v>
      </c>
      <c r="L41" s="6">
        <f>H41*J41</f>
        <v>81284.848484848495</v>
      </c>
    </row>
    <row r="42" spans="2:12" ht="17" thickBot="1">
      <c r="F42" s="177" t="s">
        <v>122</v>
      </c>
      <c r="H42" s="342">
        <f>L30-H30</f>
        <v>8450</v>
      </c>
      <c r="I42" s="1" t="s">
        <v>46</v>
      </c>
      <c r="J42" s="341">
        <f>K17</f>
        <v>17.627118644067796</v>
      </c>
      <c r="K42" s="2" t="s">
        <v>23</v>
      </c>
      <c r="L42" s="6">
        <f>H42*J42</f>
        <v>148949.15254237287</v>
      </c>
    </row>
    <row r="43" spans="2:12">
      <c r="B43" s="1" t="s">
        <v>241</v>
      </c>
      <c r="C43" s="1">
        <f>C39+C41</f>
        <v>79700.799178222893</v>
      </c>
      <c r="F43" s="5" t="s">
        <v>123</v>
      </c>
      <c r="H43" s="2">
        <f>H41+H42</f>
        <v>13000</v>
      </c>
      <c r="J43" s="36" t="s">
        <v>124</v>
      </c>
      <c r="K43" s="2" t="s">
        <v>23</v>
      </c>
      <c r="L43" s="340">
        <f>L41+L42</f>
        <v>230234.00102722138</v>
      </c>
    </row>
    <row r="44" spans="2:12">
      <c r="F44" s="13"/>
      <c r="G44" s="11"/>
      <c r="H44" s="11"/>
      <c r="I44" s="11"/>
      <c r="J44" s="112" t="s">
        <v>117</v>
      </c>
      <c r="K44" s="25" t="s">
        <v>23</v>
      </c>
      <c r="L44" s="366">
        <f>L43/L30</f>
        <v>17.710307771324722</v>
      </c>
    </row>
    <row r="45" spans="2:12">
      <c r="H45" s="1"/>
    </row>
    <row r="46" spans="2:12" ht="19">
      <c r="B46" s="12" t="s">
        <v>72</v>
      </c>
      <c r="H46" s="1"/>
    </row>
    <row r="47" spans="2:12">
      <c r="F47" s="14"/>
      <c r="G47" s="15"/>
      <c r="H47" s="15"/>
      <c r="I47" s="24" t="s">
        <v>89</v>
      </c>
      <c r="J47" s="15"/>
      <c r="K47" s="15"/>
      <c r="L47" s="17"/>
    </row>
    <row r="48" spans="2:12">
      <c r="B48" s="1" t="s">
        <v>73</v>
      </c>
      <c r="C48" s="20">
        <f>L48</f>
        <v>322500</v>
      </c>
      <c r="F48" s="5" t="s">
        <v>94</v>
      </c>
      <c r="H48" s="1">
        <f>'November-2'!L49</f>
        <v>112500</v>
      </c>
      <c r="J48" s="1" t="s">
        <v>95</v>
      </c>
      <c r="L48" s="21">
        <f>H48+H49-L49</f>
        <v>322500</v>
      </c>
    </row>
    <row r="49" spans="2:12">
      <c r="B49" s="1" t="s">
        <v>340</v>
      </c>
      <c r="C49" s="1">
        <v>0</v>
      </c>
      <c r="F49" s="13" t="s">
        <v>65</v>
      </c>
      <c r="G49" s="11"/>
      <c r="H49" s="11">
        <f>C24</f>
        <v>360000</v>
      </c>
      <c r="I49" s="11"/>
      <c r="J49" s="11" t="s">
        <v>90</v>
      </c>
      <c r="K49" s="11"/>
      <c r="L49" s="8">
        <f>J24*L24</f>
        <v>150000</v>
      </c>
    </row>
    <row r="50" spans="2:12">
      <c r="B50" s="1" t="s">
        <v>242</v>
      </c>
      <c r="C50" s="1">
        <v>0</v>
      </c>
      <c r="F50" s="14" t="s">
        <v>6</v>
      </c>
      <c r="G50" s="15"/>
      <c r="H50" s="15">
        <f>H48+H49</f>
        <v>472500</v>
      </c>
      <c r="I50" s="15"/>
      <c r="J50" s="16" t="s">
        <v>6</v>
      </c>
      <c r="K50" s="15"/>
      <c r="L50" s="17">
        <f>L48+L49</f>
        <v>472500</v>
      </c>
    </row>
    <row r="51" spans="2:12">
      <c r="H51" s="1"/>
      <c r="J51" s="1" t="s">
        <v>1</v>
      </c>
    </row>
    <row r="52" spans="2:12">
      <c r="B52" s="26" t="s">
        <v>281</v>
      </c>
      <c r="C52" s="26">
        <f>C48+C50+C49</f>
        <v>322500</v>
      </c>
      <c r="H52" s="1"/>
    </row>
    <row r="53" spans="2:12">
      <c r="H53" s="1"/>
    </row>
    <row r="54" spans="2:12">
      <c r="B54" s="1" t="s">
        <v>74</v>
      </c>
      <c r="F54" s="14"/>
      <c r="G54" s="15"/>
      <c r="H54" s="15"/>
      <c r="I54" s="24" t="s">
        <v>86</v>
      </c>
      <c r="J54" s="15"/>
      <c r="K54" s="15"/>
      <c r="L54" s="17"/>
    </row>
    <row r="55" spans="2:12">
      <c r="F55" s="5" t="s">
        <v>94</v>
      </c>
      <c r="H55" s="1">
        <f>'November-2'!L56</f>
        <v>85800</v>
      </c>
      <c r="J55" s="1" t="s">
        <v>96</v>
      </c>
      <c r="L55" s="23">
        <f>H55+H56-L56</f>
        <v>203800</v>
      </c>
    </row>
    <row r="56" spans="2:12">
      <c r="B56" s="1" t="s">
        <v>98</v>
      </c>
      <c r="C56" s="22">
        <f>-L55</f>
        <v>-203800</v>
      </c>
      <c r="F56" s="13" t="s">
        <v>97</v>
      </c>
      <c r="G56" s="11"/>
      <c r="H56" s="34">
        <f>K9</f>
        <v>236000</v>
      </c>
      <c r="I56" s="11"/>
      <c r="J56" s="11" t="s">
        <v>90</v>
      </c>
      <c r="K56" s="11"/>
      <c r="L56" s="8">
        <f>K59*H56</f>
        <v>118000</v>
      </c>
    </row>
    <row r="57" spans="2:12">
      <c r="B57" s="1" t="s">
        <v>11</v>
      </c>
      <c r="C57" s="1">
        <f>C30</f>
        <v>-5000</v>
      </c>
      <c r="F57" s="14" t="s">
        <v>6</v>
      </c>
      <c r="G57" s="15"/>
      <c r="H57" s="15">
        <f>H55+H56</f>
        <v>321800</v>
      </c>
      <c r="I57" s="15"/>
      <c r="J57" s="16" t="s">
        <v>6</v>
      </c>
      <c r="K57" s="15"/>
      <c r="L57" s="17">
        <f>L55+L56</f>
        <v>321800</v>
      </c>
    </row>
    <row r="58" spans="2:12">
      <c r="B58" s="1" t="s">
        <v>125</v>
      </c>
      <c r="C58" s="1">
        <f>C31</f>
        <v>-10400</v>
      </c>
      <c r="H58" s="1"/>
    </row>
    <row r="59" spans="2:12">
      <c r="B59" s="1" t="s">
        <v>351</v>
      </c>
      <c r="C59" s="1">
        <f>C33</f>
        <v>-6000</v>
      </c>
      <c r="F59" s="2"/>
      <c r="H59" s="1"/>
      <c r="J59" s="29" t="s">
        <v>92</v>
      </c>
      <c r="K59" s="40">
        <v>0.5</v>
      </c>
      <c r="L59" s="17" t="s">
        <v>93</v>
      </c>
    </row>
    <row r="60" spans="2:12">
      <c r="B60" s="1" t="s">
        <v>282</v>
      </c>
      <c r="C60" s="1">
        <f>-'Development plan Q4'!I27</f>
        <v>-10500</v>
      </c>
      <c r="H60" s="1"/>
    </row>
    <row r="61" spans="2:12">
      <c r="B61" s="1" t="s">
        <v>311</v>
      </c>
      <c r="C61" s="1">
        <f>-C12*ING</f>
        <v>-4500</v>
      </c>
      <c r="H61" s="1"/>
    </row>
    <row r="62" spans="2:12">
      <c r="B62" s="1" t="s">
        <v>243</v>
      </c>
      <c r="C62" s="1">
        <f>-K10</f>
        <v>-1500</v>
      </c>
      <c r="H62" s="1"/>
    </row>
    <row r="63" spans="2:12">
      <c r="B63" s="1" t="s">
        <v>252</v>
      </c>
      <c r="C63" s="1">
        <f>-K11</f>
        <v>-16000</v>
      </c>
      <c r="H63" s="1"/>
    </row>
    <row r="64" spans="2:12">
      <c r="B64" s="1" t="s">
        <v>158</v>
      </c>
      <c r="C64" s="1">
        <v>0</v>
      </c>
      <c r="H64" s="1"/>
    </row>
    <row r="65" spans="2:8">
      <c r="B65" s="1" t="s">
        <v>159</v>
      </c>
      <c r="C65" s="1">
        <f>-'November-2'!G106</f>
        <v>-20000</v>
      </c>
      <c r="H65" s="1"/>
    </row>
    <row r="66" spans="2:8">
      <c r="B66" s="1" t="s">
        <v>245</v>
      </c>
      <c r="C66" s="1">
        <f>C37</f>
        <v>-1240</v>
      </c>
      <c r="H66" s="1"/>
    </row>
    <row r="67" spans="2:8">
      <c r="H67" s="1"/>
    </row>
    <row r="68" spans="2:8">
      <c r="B68" s="26" t="s">
        <v>76</v>
      </c>
      <c r="C68" s="26">
        <f>SUM(C56:C66)</f>
        <v>-278940</v>
      </c>
      <c r="H68" s="1"/>
    </row>
    <row r="69" spans="2:8">
      <c r="H69" s="1"/>
    </row>
    <row r="70" spans="2:8">
      <c r="B70" s="26" t="s">
        <v>281</v>
      </c>
      <c r="C70" s="26">
        <f>C52</f>
        <v>322500</v>
      </c>
      <c r="H70" s="1"/>
    </row>
    <row r="71" spans="2:8">
      <c r="H71" s="1"/>
    </row>
    <row r="72" spans="2:8">
      <c r="B72" s="26" t="s">
        <v>76</v>
      </c>
      <c r="C72" s="26">
        <f>SUM(C56:C66)</f>
        <v>-278940</v>
      </c>
    </row>
    <row r="74" spans="2:8">
      <c r="B74" s="294" t="s">
        <v>77</v>
      </c>
      <c r="C74" s="294">
        <f>C52+C72</f>
        <v>43560</v>
      </c>
    </row>
    <row r="75" spans="2:8">
      <c r="H75" s="1"/>
    </row>
    <row r="76" spans="2:8">
      <c r="B76" s="1" t="s">
        <v>78</v>
      </c>
      <c r="C76" s="1">
        <f>'November-2'!C112</f>
        <v>69800</v>
      </c>
      <c r="H76" s="1"/>
    </row>
    <row r="77" spans="2:8">
      <c r="H77" s="1"/>
    </row>
    <row r="78" spans="2:8">
      <c r="B78" s="26" t="s">
        <v>79</v>
      </c>
      <c r="C78" s="232">
        <f>C74+C76</f>
        <v>113360</v>
      </c>
      <c r="H78" s="1"/>
    </row>
    <row r="79" spans="2:8">
      <c r="H79" s="1"/>
    </row>
    <row r="80" spans="2:8">
      <c r="H80" s="1"/>
    </row>
    <row r="81" spans="2:14" ht="21">
      <c r="B81" s="12" t="s">
        <v>139</v>
      </c>
      <c r="C81" s="229"/>
      <c r="D81" s="12" t="s">
        <v>129</v>
      </c>
      <c r="E81" s="307"/>
      <c r="F81" s="148"/>
      <c r="H81" s="1"/>
    </row>
    <row r="82" spans="2:14" ht="19">
      <c r="D82" s="12"/>
      <c r="E82" s="12"/>
      <c r="F82" s="12"/>
    </row>
    <row r="83" spans="2:14">
      <c r="B83" s="31" t="s">
        <v>165</v>
      </c>
      <c r="C83" s="128">
        <f>TIS</f>
        <v>0.2</v>
      </c>
      <c r="D83" s="1" t="s">
        <v>130</v>
      </c>
      <c r="E83" s="305"/>
      <c r="F83" s="2">
        <f>C89</f>
        <v>79700.799178222893</v>
      </c>
    </row>
    <row r="84" spans="2:14">
      <c r="C84" s="2"/>
      <c r="E84" s="305"/>
      <c r="F84" s="36"/>
    </row>
    <row r="85" spans="2:14">
      <c r="B85" s="1" t="s">
        <v>166</v>
      </c>
      <c r="C85" s="2">
        <f>C39</f>
        <v>99625.998972778616</v>
      </c>
      <c r="D85" s="1" t="s">
        <v>167</v>
      </c>
      <c r="E85" s="31"/>
      <c r="F85" s="128">
        <f>F87/SUM('Financial analysis December-2'!G30:R30)</f>
        <v>0.17024704866641735</v>
      </c>
      <c r="G85" s="1" t="s">
        <v>361</v>
      </c>
      <c r="H85" s="1"/>
    </row>
    <row r="86" spans="2:14">
      <c r="C86" s="2"/>
      <c r="F86" s="2"/>
      <c r="H86" s="1"/>
    </row>
    <row r="87" spans="2:14">
      <c r="B87" s="1" t="s">
        <v>141</v>
      </c>
      <c r="C87" s="2">
        <f>-C85*C83</f>
        <v>-19925.199794555723</v>
      </c>
      <c r="D87" s="1" t="s">
        <v>131</v>
      </c>
      <c r="F87" s="302">
        <v>40000</v>
      </c>
      <c r="H87" s="1"/>
    </row>
    <row r="88" spans="2:14">
      <c r="C88" s="2"/>
      <c r="F88" s="2"/>
      <c r="H88" s="1"/>
    </row>
    <row r="89" spans="2:14">
      <c r="B89" s="1" t="s">
        <v>167</v>
      </c>
      <c r="C89" s="2">
        <f>C85+C87</f>
        <v>79700.799178222893</v>
      </c>
      <c r="D89" s="1" t="s">
        <v>185</v>
      </c>
      <c r="F89" s="303">
        <f>C89-F87</f>
        <v>39700.799178222893</v>
      </c>
      <c r="H89" s="1"/>
    </row>
    <row r="90" spans="2:14">
      <c r="H90" s="1"/>
    </row>
    <row r="91" spans="2:14" s="2" customFormat="1">
      <c r="B91" s="1"/>
      <c r="C91" s="1"/>
      <c r="D91" s="1"/>
      <c r="E91" s="1"/>
      <c r="F91" s="1" t="s">
        <v>1</v>
      </c>
      <c r="G91" s="1"/>
      <c r="I91" s="1"/>
      <c r="J91" s="1"/>
      <c r="K91" s="1"/>
      <c r="L91" s="1"/>
      <c r="M91" s="1"/>
      <c r="N91" s="1"/>
    </row>
    <row r="92" spans="2:14" s="2" customFormat="1" ht="21">
      <c r="B92" s="231" t="s">
        <v>80</v>
      </c>
      <c r="C92" s="1"/>
      <c r="D92" s="12"/>
      <c r="E92" s="12"/>
      <c r="F92" s="12"/>
      <c r="G92" s="1"/>
      <c r="I92" s="1"/>
      <c r="J92" s="1"/>
      <c r="K92" s="1"/>
      <c r="L92" s="1"/>
      <c r="M92" s="1"/>
      <c r="N92" s="1"/>
    </row>
    <row r="93" spans="2:14" s="2" customFormat="1"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</row>
    <row r="94" spans="2:14" s="2" customFormat="1" ht="11" customHeight="1">
      <c r="B94" s="3"/>
      <c r="C94" s="4"/>
      <c r="D94" s="3"/>
      <c r="E94" s="48"/>
      <c r="F94" s="48"/>
      <c r="G94" s="4"/>
      <c r="I94" s="1"/>
      <c r="J94" s="1"/>
      <c r="K94" s="1"/>
      <c r="L94" s="1"/>
      <c r="M94" s="1"/>
      <c r="N94" s="1"/>
    </row>
    <row r="95" spans="2:14" s="2" customFormat="1" ht="19">
      <c r="B95" s="227" t="s">
        <v>60</v>
      </c>
      <c r="C95" s="228"/>
      <c r="D95" s="227"/>
      <c r="E95" s="226" t="s">
        <v>84</v>
      </c>
      <c r="F95" s="226"/>
      <c r="G95" s="6"/>
      <c r="I95" s="1"/>
      <c r="J95" s="1"/>
      <c r="K95" s="1"/>
      <c r="L95" s="1"/>
      <c r="M95" s="1"/>
      <c r="N95" s="1"/>
    </row>
    <row r="96" spans="2:14" s="2" customFormat="1" ht="11" customHeight="1">
      <c r="B96" s="7"/>
      <c r="C96" s="8"/>
      <c r="D96" s="7"/>
      <c r="E96" s="11"/>
      <c r="F96" s="11"/>
      <c r="G96" s="8"/>
      <c r="H96" s="30"/>
      <c r="I96" s="1"/>
      <c r="K96" s="31"/>
      <c r="L96" s="1"/>
      <c r="M96" s="1"/>
      <c r="N96" s="1"/>
    </row>
    <row r="97" spans="2:14" s="2" customFormat="1">
      <c r="B97" s="3"/>
      <c r="C97" s="4"/>
      <c r="D97" s="3"/>
      <c r="E97" s="48"/>
      <c r="F97" s="48"/>
      <c r="G97" s="4"/>
      <c r="L97" s="1"/>
      <c r="M97" s="1"/>
      <c r="N97" s="1"/>
    </row>
    <row r="98" spans="2:14" s="2" customFormat="1">
      <c r="B98" s="9" t="s">
        <v>248</v>
      </c>
      <c r="C98" s="122">
        <f>'Investment project Q2'!C18+'Development plan Q4'!C36</f>
        <v>360000</v>
      </c>
      <c r="D98" s="9" t="s">
        <v>62</v>
      </c>
      <c r="E98" s="1"/>
      <c r="F98" s="1"/>
      <c r="G98" s="10">
        <f>NA*PAR+'Development plan Q4'!F67</f>
        <v>11000</v>
      </c>
      <c r="H98" s="115"/>
      <c r="I98" s="116" t="s">
        <v>90</v>
      </c>
      <c r="J98" s="116"/>
      <c r="K98" s="117"/>
      <c r="L98" s="1"/>
      <c r="M98" s="1"/>
      <c r="N98" s="1"/>
    </row>
    <row r="99" spans="2:14" s="2" customFormat="1">
      <c r="B99" s="9" t="s">
        <v>271</v>
      </c>
      <c r="C99" s="123">
        <f>-K13+'November-2'!C99</f>
        <v>-24000</v>
      </c>
      <c r="D99" s="31" t="s">
        <v>347</v>
      </c>
      <c r="E99" s="31"/>
      <c r="G99" s="36">
        <f>'Development plan Q4'!F69</f>
        <v>99000</v>
      </c>
      <c r="H99" s="5"/>
      <c r="I99" s="31" t="s">
        <v>379</v>
      </c>
      <c r="K99" s="6" t="s">
        <v>150</v>
      </c>
      <c r="L99" s="1"/>
      <c r="M99" s="1"/>
      <c r="N99" s="1"/>
    </row>
    <row r="100" spans="2:14" s="2" customFormat="1">
      <c r="B100" s="9" t="s">
        <v>247</v>
      </c>
      <c r="C100" s="122">
        <f>C98+C99</f>
        <v>336000</v>
      </c>
      <c r="D100" s="9" t="s">
        <v>85</v>
      </c>
      <c r="E100" s="1"/>
      <c r="F100" s="1"/>
      <c r="G100" s="43">
        <f>I100+K100</f>
        <v>183672.67796610171</v>
      </c>
      <c r="H100" s="13" t="s">
        <v>23</v>
      </c>
      <c r="I100" s="11">
        <f>'November-2'!G100</f>
        <v>143971.87878787881</v>
      </c>
      <c r="J100" s="11"/>
      <c r="K100" s="118">
        <f>F89</f>
        <v>39700.799178222893</v>
      </c>
      <c r="L100" s="1"/>
      <c r="M100" s="1"/>
      <c r="N100" s="1"/>
    </row>
    <row r="101" spans="2:14" s="2" customFormat="1">
      <c r="B101" s="9"/>
      <c r="C101" s="122"/>
      <c r="D101" s="9" t="s">
        <v>82</v>
      </c>
      <c r="E101" s="1"/>
      <c r="F101" s="1"/>
      <c r="G101" s="10">
        <f>G98+G100+G99</f>
        <v>293672.67796610168</v>
      </c>
      <c r="I101" s="1"/>
      <c r="J101" s="1"/>
      <c r="K101" s="1"/>
      <c r="L101" s="1"/>
      <c r="M101" s="1"/>
      <c r="N101" s="1"/>
    </row>
    <row r="102" spans="2:14" s="2" customFormat="1">
      <c r="B102" s="177" t="s">
        <v>285</v>
      </c>
      <c r="C102" s="122">
        <f>-C60+'November-2'!C102-K12</f>
        <v>42000</v>
      </c>
      <c r="D102" s="9"/>
      <c r="E102" s="1"/>
      <c r="F102" s="1"/>
      <c r="G102" s="10"/>
      <c r="I102" s="1"/>
      <c r="J102" s="1"/>
      <c r="K102" s="1"/>
      <c r="L102" s="1"/>
      <c r="M102" s="1"/>
      <c r="N102" s="1"/>
    </row>
    <row r="103" spans="2:14" s="2" customFormat="1">
      <c r="B103" s="5"/>
      <c r="C103" s="6"/>
      <c r="D103" s="9" t="s">
        <v>363</v>
      </c>
      <c r="E103" s="1"/>
      <c r="F103" s="1"/>
      <c r="G103" s="10">
        <f>'October-2'!G104+'December-2'!C50</f>
        <v>248000</v>
      </c>
      <c r="I103" s="1"/>
      <c r="J103" s="1"/>
      <c r="K103" s="1"/>
      <c r="L103" s="1"/>
      <c r="M103" s="1"/>
      <c r="N103" s="1"/>
    </row>
    <row r="104" spans="2:14" s="2" customFormat="1">
      <c r="B104" s="5"/>
      <c r="C104" s="6"/>
      <c r="D104" s="9"/>
      <c r="E104" s="1"/>
      <c r="F104" s="1"/>
      <c r="G104" s="10"/>
      <c r="I104" s="1"/>
      <c r="J104" s="1"/>
      <c r="K104" s="1"/>
      <c r="L104" s="1"/>
      <c r="M104" s="1"/>
      <c r="N104" s="1"/>
    </row>
    <row r="105" spans="2:14" s="2" customFormat="1">
      <c r="B105" s="192" t="s">
        <v>288</v>
      </c>
      <c r="C105" s="233">
        <f>C100+C102</f>
        <v>378000</v>
      </c>
      <c r="D105" s="18" t="s">
        <v>364</v>
      </c>
      <c r="E105" s="26"/>
      <c r="F105" s="26"/>
      <c r="G105" s="19">
        <f>G101+G103</f>
        <v>541672.67796610168</v>
      </c>
      <c r="I105" s="1"/>
      <c r="J105" s="1"/>
      <c r="K105" s="1"/>
      <c r="L105" s="1"/>
      <c r="M105" s="1"/>
      <c r="N105" s="1"/>
    </row>
    <row r="106" spans="2:14" s="2" customFormat="1">
      <c r="B106" s="9"/>
      <c r="C106" s="122"/>
      <c r="D106" s="9"/>
      <c r="E106" s="1"/>
      <c r="F106" s="1"/>
      <c r="G106" s="10"/>
      <c r="I106" s="1"/>
      <c r="J106" s="1"/>
      <c r="K106" s="1"/>
      <c r="L106" s="1"/>
      <c r="M106" s="1"/>
      <c r="N106" s="1"/>
    </row>
    <row r="107" spans="2:14" s="2" customFormat="1">
      <c r="B107" s="9" t="s">
        <v>127</v>
      </c>
      <c r="C107" s="10">
        <f>L36</f>
        <v>111050.84745762711</v>
      </c>
      <c r="D107" s="9" t="s">
        <v>135</v>
      </c>
      <c r="E107" s="1"/>
      <c r="F107" s="1"/>
      <c r="G107" s="41">
        <f>'November-2'!G106+'December-2'!C65+F87</f>
        <v>40000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128</v>
      </c>
      <c r="C108" s="10">
        <f>L49</f>
        <v>150000</v>
      </c>
      <c r="D108" s="9" t="s">
        <v>86</v>
      </c>
      <c r="E108" s="1"/>
      <c r="F108" s="1"/>
      <c r="G108" s="10">
        <f>L56</f>
        <v>118000</v>
      </c>
      <c r="I108" s="1"/>
      <c r="J108" s="1"/>
      <c r="K108" s="1"/>
      <c r="L108" s="1"/>
      <c r="M108" s="1"/>
      <c r="N108" s="1"/>
    </row>
    <row r="109" spans="2:14" s="2" customFormat="1">
      <c r="B109" s="9" t="s">
        <v>357</v>
      </c>
      <c r="C109" s="8">
        <f>'November-2'!C108+'August-2'!C63/'August-2'!C118</f>
        <v>6000</v>
      </c>
      <c r="D109" s="9" t="s">
        <v>145</v>
      </c>
      <c r="E109" s="1"/>
      <c r="F109" s="1"/>
      <c r="G109" s="8">
        <f>'November-2'!G108+'December-2'!C64-'December-2'!C87</f>
        <v>58738.169491525427</v>
      </c>
      <c r="I109" s="1"/>
      <c r="J109" s="1"/>
      <c r="K109" s="1"/>
      <c r="L109" s="1"/>
      <c r="M109" s="1"/>
      <c r="N109" s="1"/>
    </row>
    <row r="110" spans="2:14" s="2" customFormat="1">
      <c r="B110" s="9"/>
      <c r="C110" s="10"/>
      <c r="D110" s="1"/>
      <c r="E110" s="1"/>
      <c r="F110" s="1"/>
      <c r="G110" s="10"/>
      <c r="I110" s="1"/>
      <c r="J110" s="1"/>
      <c r="K110" s="1"/>
      <c r="L110" s="1"/>
      <c r="M110" s="1"/>
      <c r="N110" s="1"/>
    </row>
    <row r="111" spans="2:14" s="2" customFormat="1">
      <c r="B111" s="18" t="s">
        <v>290</v>
      </c>
      <c r="C111" s="19">
        <f>SUM(C107:C109)</f>
        <v>267050.84745762713</v>
      </c>
      <c r="D111" s="26" t="s">
        <v>293</v>
      </c>
      <c r="E111" s="26"/>
      <c r="F111" s="26"/>
      <c r="G111" s="19">
        <f>SUM(G107:G109)</f>
        <v>216738.16949152542</v>
      </c>
      <c r="I111" s="1"/>
      <c r="J111" s="1"/>
      <c r="K111" s="1"/>
      <c r="L111" s="1"/>
      <c r="M111" s="1"/>
      <c r="N111" s="1"/>
    </row>
    <row r="112" spans="2:14" s="2" customFormat="1">
      <c r="B112" s="9"/>
      <c r="C112" s="10"/>
      <c r="D112" s="1"/>
      <c r="E112" s="1"/>
      <c r="F112" s="1"/>
      <c r="G112" s="10"/>
      <c r="I112" s="1"/>
      <c r="J112" s="1"/>
      <c r="K112" s="1"/>
      <c r="L112" s="1"/>
      <c r="M112" s="1"/>
      <c r="N112" s="1"/>
    </row>
    <row r="113" spans="2:14" s="2" customFormat="1">
      <c r="B113" s="18" t="s">
        <v>63</v>
      </c>
      <c r="C113" s="28">
        <f>'December-2'!C78</f>
        <v>113360</v>
      </c>
      <c r="D113" s="9" t="s">
        <v>365</v>
      </c>
      <c r="G113" s="122">
        <v>0</v>
      </c>
      <c r="I113" s="1"/>
      <c r="J113" s="1"/>
      <c r="K113" s="1"/>
      <c r="L113" s="1"/>
      <c r="M113" s="1"/>
      <c r="N113" s="1"/>
    </row>
    <row r="114" spans="2:14" s="2" customFormat="1">
      <c r="B114" s="9"/>
      <c r="C114" s="10"/>
      <c r="D114" s="9"/>
      <c r="E114" s="1"/>
      <c r="F114" s="1"/>
      <c r="G114" s="10"/>
      <c r="I114" s="1"/>
      <c r="J114" s="1"/>
      <c r="K114" s="1"/>
      <c r="L114" s="1"/>
      <c r="M114" s="1"/>
      <c r="N114" s="1"/>
    </row>
    <row r="115" spans="2:14">
      <c r="B115" s="18" t="s">
        <v>88</v>
      </c>
      <c r="C115" s="19">
        <f>C108+C113+C107+C100+C102+C109</f>
        <v>758410.84745762707</v>
      </c>
      <c r="D115" s="18" t="s">
        <v>87</v>
      </c>
      <c r="E115" s="26"/>
      <c r="F115" s="26"/>
      <c r="G115" s="19">
        <f>G101+G108+G109+G107+G103+G113</f>
        <v>758410.84745762707</v>
      </c>
    </row>
    <row r="116" spans="2:14">
      <c r="B116" s="7"/>
      <c r="C116" s="8"/>
      <c r="D116" s="7"/>
      <c r="E116" s="11"/>
      <c r="F116" s="11"/>
      <c r="G116" s="8"/>
    </row>
    <row r="119" spans="2:14" ht="19">
      <c r="B119" s="12" t="s">
        <v>366</v>
      </c>
      <c r="D119" s="359" t="s">
        <v>367</v>
      </c>
      <c r="E119" s="108"/>
    </row>
    <row r="121" spans="2:14">
      <c r="B121" s="1" t="s">
        <v>249</v>
      </c>
      <c r="C121" s="1">
        <f>C35</f>
        <v>100865.99897277862</v>
      </c>
      <c r="E121" s="1">
        <f>SUM('Financial analysis December-2'!G107:R107)</f>
        <v>298850.84745762713</v>
      </c>
    </row>
    <row r="122" spans="2:14">
      <c r="B122" s="1" t="s">
        <v>301</v>
      </c>
      <c r="C122" s="11">
        <f>K13+K12</f>
        <v>6500</v>
      </c>
      <c r="E122" s="11">
        <f>SUM('Financial analysis December-2'!G109:R109)</f>
        <v>25500</v>
      </c>
    </row>
    <row r="123" spans="2:14" ht="11" customHeight="1"/>
    <row r="124" spans="2:14">
      <c r="B124" s="26" t="s">
        <v>29</v>
      </c>
      <c r="C124" s="26">
        <f>C121+C122</f>
        <v>107365.99897277862</v>
      </c>
      <c r="E124" s="26">
        <f>E121+E122</f>
        <v>324350.84745762713</v>
      </c>
    </row>
    <row r="126" spans="2:14">
      <c r="B126" s="1" t="s">
        <v>294</v>
      </c>
      <c r="C126" s="1">
        <f>C37</f>
        <v>-1240</v>
      </c>
      <c r="E126" s="1">
        <f>SUM('Financial analysis December-2'!G24:R24)</f>
        <v>-5160</v>
      </c>
    </row>
    <row r="127" spans="2:14">
      <c r="B127" s="1" t="s">
        <v>295</v>
      </c>
      <c r="C127" s="1">
        <f>C41</f>
        <v>-19925.199794555723</v>
      </c>
      <c r="E127" s="1">
        <f>SUM('Financial analysis December-2'!G28:R28)</f>
        <v>-58738.169491525427</v>
      </c>
    </row>
    <row r="128" spans="2:14" ht="11" customHeight="1">
      <c r="C128" s="11"/>
      <c r="E128" s="11"/>
    </row>
    <row r="129" spans="2:8" ht="11" customHeight="1"/>
    <row r="130" spans="2:8">
      <c r="B130" s="26" t="s">
        <v>296</v>
      </c>
      <c r="C130" s="26">
        <f>C124+C126+C127</f>
        <v>86200.799178222893</v>
      </c>
      <c r="D130" s="26"/>
      <c r="E130" s="26">
        <f>E124+E126+E127</f>
        <v>260452.67796610171</v>
      </c>
      <c r="F130" s="26"/>
    </row>
    <row r="132" spans="2:8">
      <c r="B132" s="1" t="s">
        <v>297</v>
      </c>
      <c r="C132" s="1">
        <f>-'Financial analysis December-2'!R134</f>
        <v>7859.2008217770999</v>
      </c>
      <c r="E132" s="1">
        <f>-('Financial analysis December-2'!R131-'Financial analysis December-2'!F131)</f>
        <v>-41992.677966101706</v>
      </c>
    </row>
    <row r="134" spans="2:8">
      <c r="B134" s="26" t="s">
        <v>298</v>
      </c>
      <c r="C134" s="26">
        <f>C130+C132</f>
        <v>94060</v>
      </c>
      <c r="E134" s="26">
        <f>E130+E132</f>
        <v>218460</v>
      </c>
    </row>
    <row r="136" spans="2:8">
      <c r="B136" s="1" t="s">
        <v>299</v>
      </c>
      <c r="C136" s="1">
        <v>0</v>
      </c>
      <c r="E136" s="1">
        <f>-'Financial analysis December-2'!R142+'Financial analysis December-2'!F142</f>
        <v>-360000</v>
      </c>
    </row>
    <row r="137" spans="2:8">
      <c r="B137" s="1" t="s">
        <v>300</v>
      </c>
      <c r="C137" s="1">
        <f>C60</f>
        <v>-10500</v>
      </c>
      <c r="E137" s="1">
        <f>-SUM('Development plan Q4'!D27:I27)</f>
        <v>-43500</v>
      </c>
    </row>
    <row r="138" spans="2:8" ht="11" customHeight="1">
      <c r="C138" s="11"/>
      <c r="E138" s="11"/>
    </row>
    <row r="139" spans="2:8" ht="11" customHeight="1"/>
    <row r="140" spans="2:8">
      <c r="B140" s="26" t="s">
        <v>256</v>
      </c>
      <c r="C140" s="26">
        <f>C134+C136+C137</f>
        <v>83560</v>
      </c>
      <c r="D140" s="26"/>
      <c r="E140" s="26">
        <f>E134+E136+E137</f>
        <v>-185040</v>
      </c>
      <c r="F140" s="26"/>
    </row>
    <row r="141" spans="2:8">
      <c r="B141"/>
      <c r="C141"/>
      <c r="E141"/>
      <c r="G141" s="2"/>
      <c r="H141" s="1"/>
    </row>
    <row r="142" spans="2:8">
      <c r="B142" s="1" t="s">
        <v>340</v>
      </c>
      <c r="C142" s="293">
        <f>C49</f>
        <v>0</v>
      </c>
      <c r="E142" s="293">
        <f>'Development plan Q4'!C62</f>
        <v>100000</v>
      </c>
      <c r="G142" s="2"/>
      <c r="H142" s="1"/>
    </row>
    <row r="143" spans="2:8">
      <c r="B143" s="1" t="s">
        <v>354</v>
      </c>
      <c r="C143" s="1">
        <f>-F87</f>
        <v>-40000</v>
      </c>
      <c r="E143" s="1">
        <f>-SUM('Financial analysis December-2'!G173:R173)</f>
        <v>-60000</v>
      </c>
      <c r="G143" s="2"/>
      <c r="H143" s="1"/>
    </row>
    <row r="144" spans="2:8">
      <c r="B144"/>
      <c r="C144"/>
      <c r="E144"/>
      <c r="G144" s="2"/>
      <c r="H144" s="1"/>
    </row>
    <row r="145" spans="2:10">
      <c r="B145" t="s">
        <v>242</v>
      </c>
      <c r="C145" s="293">
        <f>C50</f>
        <v>0</v>
      </c>
      <c r="E145" s="293">
        <f>'Financial analysis December-2'!R171-'Financial analysis December-2'!F171</f>
        <v>248000</v>
      </c>
      <c r="G145" s="2"/>
      <c r="H145" s="1"/>
    </row>
    <row r="146" spans="2:10" ht="11" customHeight="1">
      <c r="B146"/>
      <c r="C146" s="289"/>
      <c r="E146" s="289"/>
      <c r="G146" s="2"/>
      <c r="H146" s="1"/>
    </row>
    <row r="147" spans="2:10" ht="11" customHeight="1">
      <c r="B147"/>
      <c r="C147"/>
      <c r="E147"/>
      <c r="G147" s="2"/>
      <c r="H147" s="1"/>
    </row>
    <row r="148" spans="2:10">
      <c r="B148" s="367" t="s">
        <v>178</v>
      </c>
      <c r="C148" s="294">
        <f>C140+C142+C143+C145</f>
        <v>43560</v>
      </c>
      <c r="E148" s="294">
        <f>E140+E142+E143+E145</f>
        <v>102960</v>
      </c>
      <c r="F148" s="26"/>
      <c r="G148" s="2"/>
      <c r="H148" s="1"/>
      <c r="J148" s="26"/>
    </row>
    <row r="150" spans="2:10">
      <c r="C150" s="1" t="s">
        <v>368</v>
      </c>
      <c r="E150" s="1">
        <f>C113</f>
        <v>113360</v>
      </c>
    </row>
    <row r="152" spans="2:10">
      <c r="C152" s="1" t="s">
        <v>369</v>
      </c>
      <c r="E152" s="1">
        <f>-'Financial analysis December-2'!F156</f>
        <v>-10400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9C04-A946-B846-8D66-4AD3B285BC4E}">
  <dimension ref="B3:R231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5.5" customWidth="1"/>
    <col min="7" max="18" width="10.83203125" style="89"/>
  </cols>
  <sheetData>
    <row r="3" spans="2:18" ht="19">
      <c r="B3" s="12"/>
    </row>
    <row r="4" spans="2:18">
      <c r="B4" s="50"/>
      <c r="C4" s="102"/>
      <c r="D4" s="102"/>
      <c r="E4" s="102"/>
      <c r="F4" s="102"/>
      <c r="G4" s="133"/>
      <c r="H4" s="133"/>
      <c r="I4" s="133"/>
      <c r="J4" s="178"/>
      <c r="K4" s="178"/>
      <c r="L4" s="178"/>
      <c r="M4" s="247"/>
      <c r="N4" s="247"/>
      <c r="O4" s="247"/>
      <c r="P4" s="271"/>
      <c r="Q4" s="271"/>
      <c r="R4" s="271"/>
    </row>
    <row r="5" spans="2:18" s="46" customFormat="1" ht="19">
      <c r="B5" s="80" t="s">
        <v>64</v>
      </c>
      <c r="C5" s="103" t="s">
        <v>147</v>
      </c>
      <c r="D5" s="103" t="s">
        <v>148</v>
      </c>
      <c r="E5" s="103" t="s">
        <v>149</v>
      </c>
      <c r="F5" s="103" t="s">
        <v>150</v>
      </c>
      <c r="G5" s="134" t="s">
        <v>171</v>
      </c>
      <c r="H5" s="134" t="s">
        <v>190</v>
      </c>
      <c r="I5" s="134" t="s">
        <v>192</v>
      </c>
      <c r="J5" s="179" t="s">
        <v>195</v>
      </c>
      <c r="K5" s="179" t="s">
        <v>196</v>
      </c>
      <c r="L5" s="179" t="s">
        <v>197</v>
      </c>
      <c r="M5" s="248" t="s">
        <v>279</v>
      </c>
      <c r="N5" s="248" t="s">
        <v>280</v>
      </c>
      <c r="O5" s="248" t="s">
        <v>147</v>
      </c>
      <c r="P5" s="103" t="s">
        <v>148</v>
      </c>
      <c r="Q5" s="103" t="s">
        <v>149</v>
      </c>
      <c r="R5" s="103" t="s">
        <v>150</v>
      </c>
    </row>
    <row r="6" spans="2:18">
      <c r="B6" s="53"/>
      <c r="C6" s="104"/>
      <c r="D6" s="104"/>
      <c r="E6" s="104"/>
      <c r="F6" s="104"/>
      <c r="G6" s="135"/>
      <c r="H6" s="135"/>
      <c r="I6" s="135"/>
      <c r="J6" s="180"/>
      <c r="K6" s="180"/>
      <c r="L6" s="180"/>
      <c r="M6" s="249"/>
      <c r="N6" s="249"/>
      <c r="O6" s="249"/>
      <c r="P6" s="313"/>
      <c r="Q6" s="313"/>
      <c r="R6" s="313"/>
    </row>
    <row r="7" spans="2:18">
      <c r="B7" s="50"/>
      <c r="C7" s="102"/>
      <c r="D7" s="102"/>
      <c r="E7" s="102"/>
      <c r="F7" s="102"/>
      <c r="G7" s="133"/>
      <c r="H7" s="133"/>
      <c r="I7" s="133"/>
      <c r="J7" s="178"/>
      <c r="K7" s="178"/>
      <c r="L7" s="178"/>
      <c r="M7" s="247"/>
      <c r="N7" s="247"/>
      <c r="O7" s="247"/>
      <c r="P7" s="271"/>
      <c r="Q7" s="271"/>
      <c r="R7" s="271"/>
    </row>
    <row r="8" spans="2:18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136">
        <f>'January-2'!D4</f>
        <v>27500</v>
      </c>
      <c r="H8" s="136">
        <f>'February-2'!D4</f>
        <v>34500</v>
      </c>
      <c r="I8" s="136">
        <f>'March-2'!D4</f>
        <v>38500</v>
      </c>
      <c r="J8" s="181">
        <f>'April-2'!D24</f>
        <v>52500</v>
      </c>
      <c r="K8" s="181">
        <f>'May-2'!D24</f>
        <v>60500</v>
      </c>
      <c r="L8" s="181">
        <f>'June-2'!D24</f>
        <v>79500</v>
      </c>
      <c r="M8" s="250">
        <f>'July-2'!C24</f>
        <v>99500</v>
      </c>
      <c r="N8" s="250">
        <f>'August-2'!C24</f>
        <v>84000</v>
      </c>
      <c r="O8" s="250">
        <f>'September-2'!C25</f>
        <v>117500</v>
      </c>
      <c r="P8" s="238">
        <f>'October-2'!C24</f>
        <v>180000</v>
      </c>
      <c r="Q8" s="238">
        <f>'November-2'!C24</f>
        <v>262500</v>
      </c>
      <c r="R8" s="238">
        <f>'December-2'!C24</f>
        <v>360000</v>
      </c>
    </row>
    <row r="9" spans="2:18">
      <c r="B9" s="71"/>
      <c r="C9" s="100"/>
      <c r="D9" s="100"/>
      <c r="E9" s="100"/>
      <c r="F9" s="100"/>
      <c r="G9" s="137"/>
      <c r="H9" s="137"/>
      <c r="I9" s="137"/>
      <c r="J9" s="182"/>
      <c r="K9" s="182"/>
      <c r="L9" s="182"/>
      <c r="M9" s="251"/>
      <c r="N9" s="251"/>
      <c r="O9" s="251"/>
      <c r="P9" s="311"/>
      <c r="Q9" s="311"/>
      <c r="R9" s="311"/>
    </row>
    <row r="10" spans="2:18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138">
        <f>'January-2'!D6</f>
        <v>-20000</v>
      </c>
      <c r="H10" s="138">
        <f>'February-2'!D6</f>
        <v>-25000</v>
      </c>
      <c r="I10" s="138">
        <f>'March-2'!D6</f>
        <v>-28000</v>
      </c>
      <c r="J10" s="183">
        <f>'April-2'!D26</f>
        <v>-38000</v>
      </c>
      <c r="K10" s="183">
        <f>'May-2'!D26</f>
        <v>-46265.476190476191</v>
      </c>
      <c r="L10" s="183">
        <f>'June-2'!D26</f>
        <v>-54752.106227106233</v>
      </c>
      <c r="M10" s="252">
        <f>'July-2'!C26</f>
        <v>-65950.478418919476</v>
      </c>
      <c r="N10" s="252">
        <f>'August-2'!C26</f>
        <v>-55191.566492690647</v>
      </c>
      <c r="O10" s="252">
        <f>'September-2'!C27</f>
        <v>-77726.372670807454</v>
      </c>
      <c r="P10" s="240">
        <f>'October-2'!C26</f>
        <v>-119133.58136394329</v>
      </c>
      <c r="Q10" s="240">
        <f>'November-2'!C26</f>
        <v>-172495.5701512082</v>
      </c>
      <c r="R10" s="240">
        <f>'December-2'!C26</f>
        <v>-230234.00102722138</v>
      </c>
    </row>
    <row r="11" spans="2:18">
      <c r="B11" s="71"/>
      <c r="C11" s="100"/>
      <c r="D11" s="100"/>
      <c r="E11" s="100"/>
      <c r="F11" s="100"/>
      <c r="G11" s="137"/>
      <c r="H11" s="137"/>
      <c r="I11" s="137"/>
      <c r="J11" s="182"/>
      <c r="K11" s="182"/>
      <c r="L11" s="182"/>
      <c r="M11" s="251"/>
      <c r="N11" s="251"/>
      <c r="O11" s="251"/>
      <c r="P11" s="311"/>
      <c r="Q11" s="311"/>
      <c r="R11" s="311"/>
    </row>
    <row r="12" spans="2:18">
      <c r="B12" s="71" t="s">
        <v>108</v>
      </c>
      <c r="C12" s="100">
        <f>C8+C10</f>
        <v>2000</v>
      </c>
      <c r="D12" s="100">
        <f t="shared" ref="D12:Q12" si="0">D8+D10</f>
        <v>3000</v>
      </c>
      <c r="E12" s="100">
        <f t="shared" si="0"/>
        <v>7000</v>
      </c>
      <c r="F12" s="100">
        <f t="shared" si="0"/>
        <v>10000</v>
      </c>
      <c r="G12" s="136">
        <f t="shared" si="0"/>
        <v>7500</v>
      </c>
      <c r="H12" s="136">
        <f t="shared" si="0"/>
        <v>9500</v>
      </c>
      <c r="I12" s="136">
        <f t="shared" si="0"/>
        <v>10500</v>
      </c>
      <c r="J12" s="181">
        <f t="shared" si="0"/>
        <v>14500</v>
      </c>
      <c r="K12" s="181">
        <f t="shared" si="0"/>
        <v>14234.523809523809</v>
      </c>
      <c r="L12" s="181">
        <f t="shared" si="0"/>
        <v>24747.893772893767</v>
      </c>
      <c r="M12" s="250">
        <f t="shared" si="0"/>
        <v>33549.521581080524</v>
      </c>
      <c r="N12" s="250">
        <f t="shared" si="0"/>
        <v>28808.433507309353</v>
      </c>
      <c r="O12" s="250">
        <f t="shared" si="0"/>
        <v>39773.627329192546</v>
      </c>
      <c r="P12" s="238">
        <f t="shared" si="0"/>
        <v>60866.418636056711</v>
      </c>
      <c r="Q12" s="238">
        <f t="shared" si="0"/>
        <v>90004.429848791799</v>
      </c>
      <c r="R12" s="238">
        <f t="shared" ref="R12" si="1">R8+R10</f>
        <v>129765.99897277862</v>
      </c>
    </row>
    <row r="13" spans="2:18">
      <c r="B13" s="71"/>
      <c r="C13" s="100"/>
      <c r="D13" s="100"/>
      <c r="E13" s="100"/>
      <c r="F13" s="100"/>
      <c r="G13" s="137"/>
      <c r="H13" s="137"/>
      <c r="I13" s="137"/>
      <c r="J13" s="182"/>
      <c r="K13" s="182"/>
      <c r="L13" s="182"/>
      <c r="M13" s="251"/>
      <c r="N13" s="251"/>
      <c r="O13" s="251"/>
      <c r="P13" s="311"/>
      <c r="Q13" s="311"/>
      <c r="R13" s="311"/>
    </row>
    <row r="14" spans="2:18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136">
        <f>'January-2'!D10</f>
        <v>-2000</v>
      </c>
      <c r="H14" s="136">
        <f>'February-2'!D10</f>
        <v>-2000</v>
      </c>
      <c r="I14" s="136">
        <f>'March-2'!D10</f>
        <v>-3000</v>
      </c>
      <c r="J14" s="181">
        <f>'April-2'!D30</f>
        <v>-3000</v>
      </c>
      <c r="K14" s="181">
        <f>'May-2'!D30</f>
        <v>-3000</v>
      </c>
      <c r="L14" s="181">
        <f>'June-2'!D30</f>
        <v>-3000</v>
      </c>
      <c r="M14" s="250">
        <f>'July-2'!C30</f>
        <v>-3000</v>
      </c>
      <c r="N14" s="250">
        <f>'August-2'!C30</f>
        <v>-3000</v>
      </c>
      <c r="O14" s="250">
        <f>'September-2'!C31</f>
        <v>-3000</v>
      </c>
      <c r="P14" s="238">
        <f>'October-2'!C30</f>
        <v>-5000</v>
      </c>
      <c r="Q14" s="238">
        <f>'November-2'!C30</f>
        <v>-5000</v>
      </c>
      <c r="R14" s="238">
        <f>'December-2'!C30</f>
        <v>-5000</v>
      </c>
    </row>
    <row r="15" spans="2:18">
      <c r="B15" s="71" t="s">
        <v>100</v>
      </c>
      <c r="C15" s="100"/>
      <c r="D15" s="100"/>
      <c r="E15" s="100">
        <f>'November-1'!D11</f>
        <v>-1300</v>
      </c>
      <c r="F15" s="100">
        <f>'December-1'!D11</f>
        <v>-1300</v>
      </c>
      <c r="G15" s="136">
        <f>'January-2'!D11</f>
        <v>-1300</v>
      </c>
      <c r="H15" s="136">
        <f>'February-2'!D11</f>
        <v>-1300</v>
      </c>
      <c r="I15" s="136">
        <f>'March-2'!D11</f>
        <v>-2600</v>
      </c>
      <c r="J15" s="181">
        <f>'April-2'!D31</f>
        <v>-3900</v>
      </c>
      <c r="K15" s="181">
        <f>'May-2'!D31</f>
        <v>-3900</v>
      </c>
      <c r="L15" s="181">
        <f>'June-2'!D31</f>
        <v>-3900</v>
      </c>
      <c r="M15" s="250">
        <f>'July-2'!C31</f>
        <v>-3900</v>
      </c>
      <c r="N15" s="250">
        <f>'August-2'!C31</f>
        <v>-3900</v>
      </c>
      <c r="O15" s="250">
        <f>'September-2'!C32</f>
        <v>-6500</v>
      </c>
      <c r="P15" s="238">
        <f>'October-2'!C31</f>
        <v>-10400</v>
      </c>
      <c r="Q15" s="238">
        <f>'November-2'!C31</f>
        <v>-10400</v>
      </c>
      <c r="R15" s="238">
        <f>'December-2'!C31</f>
        <v>-10400</v>
      </c>
    </row>
    <row r="16" spans="2:18">
      <c r="B16" s="71" t="s">
        <v>188</v>
      </c>
      <c r="C16" s="100"/>
      <c r="D16" s="100"/>
      <c r="E16" s="100"/>
      <c r="F16" s="100"/>
      <c r="G16" s="136"/>
      <c r="H16" s="136">
        <f>'February-2'!D12</f>
        <v>-1500</v>
      </c>
      <c r="I16" s="136">
        <f>'March-2'!D12</f>
        <v>-3000</v>
      </c>
      <c r="J16" s="181">
        <f>'April-2'!D32</f>
        <v>-1500</v>
      </c>
      <c r="K16" s="181">
        <f>'May-2'!D32</f>
        <v>-1500</v>
      </c>
      <c r="L16" s="181">
        <f>'June-2'!D32</f>
        <v>-1500</v>
      </c>
      <c r="M16" s="250">
        <f>'July-2'!C32</f>
        <v>-1500</v>
      </c>
      <c r="N16" s="250">
        <f>'August-2'!C32</f>
        <v>-1500</v>
      </c>
      <c r="O16" s="250">
        <f>'September-2'!C33</f>
        <v>-6000</v>
      </c>
      <c r="P16" s="238">
        <f>'October-2'!C32</f>
        <v>-7500</v>
      </c>
      <c r="Q16" s="238">
        <f>'November-2'!C32</f>
        <v>-7500</v>
      </c>
      <c r="R16" s="238">
        <f>'December-2'!C32</f>
        <v>-7500</v>
      </c>
    </row>
    <row r="17" spans="2:18">
      <c r="B17" s="71" t="s">
        <v>355</v>
      </c>
      <c r="C17" s="100"/>
      <c r="D17" s="100"/>
      <c r="E17" s="100"/>
      <c r="F17" s="100"/>
      <c r="G17" s="136"/>
      <c r="H17" s="136"/>
      <c r="I17" s="136"/>
      <c r="J17" s="181"/>
      <c r="K17" s="181"/>
      <c r="L17" s="181"/>
      <c r="M17" s="250"/>
      <c r="N17" s="250"/>
      <c r="O17" s="250"/>
      <c r="P17" s="238">
        <f>'October-2'!C33</f>
        <v>-6000</v>
      </c>
      <c r="Q17" s="238">
        <f>'November-2'!C33</f>
        <v>-6000</v>
      </c>
      <c r="R17" s="238">
        <f>'December-2'!C33</f>
        <v>-6000</v>
      </c>
    </row>
    <row r="18" spans="2:18">
      <c r="B18" s="71"/>
      <c r="C18" s="100"/>
      <c r="D18" s="100"/>
      <c r="E18" s="100"/>
      <c r="F18" s="100"/>
      <c r="G18" s="137"/>
      <c r="H18" s="137"/>
      <c r="I18" s="137"/>
      <c r="J18" s="182"/>
      <c r="K18" s="182"/>
      <c r="L18" s="182"/>
      <c r="M18" s="251"/>
      <c r="N18" s="251"/>
      <c r="O18" s="251"/>
      <c r="P18" s="311"/>
      <c r="Q18" s="311"/>
      <c r="R18" s="311"/>
    </row>
    <row r="19" spans="2:18">
      <c r="B19" s="71" t="s">
        <v>181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6">
        <f t="shared" si="2"/>
        <v>4200</v>
      </c>
      <c r="H19" s="136">
        <f t="shared" ref="H19:O19" si="3">H12+H14+H15+H16</f>
        <v>4700</v>
      </c>
      <c r="I19" s="136">
        <f t="shared" si="3"/>
        <v>1900</v>
      </c>
      <c r="J19" s="181">
        <f t="shared" si="3"/>
        <v>6100</v>
      </c>
      <c r="K19" s="181">
        <f t="shared" si="3"/>
        <v>5834.5238095238092</v>
      </c>
      <c r="L19" s="181">
        <f t="shared" si="3"/>
        <v>16347.893772893767</v>
      </c>
      <c r="M19" s="250">
        <f t="shared" si="3"/>
        <v>25149.521581080524</v>
      </c>
      <c r="N19" s="250">
        <f t="shared" si="3"/>
        <v>20408.433507309353</v>
      </c>
      <c r="O19" s="250">
        <f t="shared" si="3"/>
        <v>24273.627329192546</v>
      </c>
      <c r="P19" s="238">
        <f>P12+P14+P15+P16+P17</f>
        <v>31966.418636056711</v>
      </c>
      <c r="Q19" s="238">
        <f>Q12+Q14+Q15+Q16+Q17</f>
        <v>61104.429848791799</v>
      </c>
      <c r="R19" s="238">
        <f>R12+R14+R15+R16+R17</f>
        <v>100865.99897277862</v>
      </c>
    </row>
    <row r="20" spans="2:18">
      <c r="B20" s="71" t="s">
        <v>161</v>
      </c>
      <c r="C20" s="99"/>
      <c r="D20" s="99"/>
      <c r="E20" s="99"/>
      <c r="F20" s="99"/>
      <c r="G20" s="138">
        <f>'January-2'!D14</f>
        <v>-4000</v>
      </c>
      <c r="H20" s="138"/>
      <c r="I20" s="138"/>
      <c r="J20" s="183"/>
      <c r="K20" s="183"/>
      <c r="L20" s="183"/>
      <c r="M20" s="252"/>
      <c r="N20" s="252"/>
      <c r="O20" s="252"/>
      <c r="P20" s="240"/>
      <c r="Q20" s="240"/>
      <c r="R20" s="240"/>
    </row>
    <row r="21" spans="2:18">
      <c r="B21" s="71"/>
      <c r="C21" s="100"/>
      <c r="D21" s="100"/>
      <c r="E21" s="100"/>
      <c r="F21" s="100"/>
      <c r="G21" s="136"/>
      <c r="H21" s="136"/>
      <c r="I21" s="136"/>
      <c r="J21" s="181"/>
      <c r="K21" s="181"/>
      <c r="L21" s="181"/>
      <c r="M21" s="250"/>
      <c r="N21" s="250"/>
      <c r="O21" s="250"/>
      <c r="P21" s="238"/>
      <c r="Q21" s="238"/>
      <c r="R21" s="238"/>
    </row>
    <row r="22" spans="2:18">
      <c r="B22" s="71" t="s">
        <v>144</v>
      </c>
      <c r="C22" s="100">
        <f>C19+C20</f>
        <v>1000</v>
      </c>
      <c r="D22" s="100">
        <f t="shared" ref="D22:Q22" si="4">D19+D20</f>
        <v>2000</v>
      </c>
      <c r="E22" s="100">
        <f t="shared" si="4"/>
        <v>3700</v>
      </c>
      <c r="F22" s="100">
        <f t="shared" si="4"/>
        <v>6700</v>
      </c>
      <c r="G22" s="139">
        <f t="shared" si="4"/>
        <v>200</v>
      </c>
      <c r="H22" s="139">
        <f t="shared" si="4"/>
        <v>4700</v>
      </c>
      <c r="I22" s="139">
        <f t="shared" si="4"/>
        <v>1900</v>
      </c>
      <c r="J22" s="184">
        <f t="shared" si="4"/>
        <v>6100</v>
      </c>
      <c r="K22" s="184">
        <f t="shared" si="4"/>
        <v>5834.5238095238092</v>
      </c>
      <c r="L22" s="184">
        <f t="shared" si="4"/>
        <v>16347.893772893767</v>
      </c>
      <c r="M22" s="253">
        <f t="shared" si="4"/>
        <v>25149.521581080524</v>
      </c>
      <c r="N22" s="253">
        <f t="shared" si="4"/>
        <v>20408.433507309353</v>
      </c>
      <c r="O22" s="253">
        <f t="shared" si="4"/>
        <v>24273.627329192546</v>
      </c>
      <c r="P22" s="100">
        <f t="shared" si="4"/>
        <v>31966.418636056711</v>
      </c>
      <c r="Q22" s="100">
        <f t="shared" si="4"/>
        <v>61104.429848791799</v>
      </c>
      <c r="R22" s="100">
        <f t="shared" ref="R22" si="5">R19+R20</f>
        <v>100865.99897277862</v>
      </c>
    </row>
    <row r="23" spans="2:18">
      <c r="B23" s="71"/>
      <c r="C23" s="100"/>
      <c r="D23" s="100"/>
      <c r="E23" s="100"/>
      <c r="F23" s="100"/>
      <c r="G23" s="139"/>
      <c r="H23" s="139"/>
      <c r="I23" s="139"/>
      <c r="J23" s="184"/>
      <c r="K23" s="184"/>
      <c r="L23" s="184"/>
      <c r="M23" s="253"/>
      <c r="N23" s="253"/>
      <c r="O23" s="253"/>
      <c r="P23" s="100"/>
      <c r="Q23" s="100"/>
      <c r="R23" s="100"/>
    </row>
    <row r="24" spans="2:18">
      <c r="B24" s="71" t="s">
        <v>263</v>
      </c>
      <c r="C24" s="99"/>
      <c r="D24" s="99"/>
      <c r="E24" s="99"/>
      <c r="F24" s="99"/>
      <c r="G24" s="140"/>
      <c r="H24" s="140"/>
      <c r="I24" s="140"/>
      <c r="J24" s="185">
        <f>'April-2'!D36</f>
        <v>-240</v>
      </c>
      <c r="K24" s="185">
        <f>'May-2'!D36</f>
        <v>-240</v>
      </c>
      <c r="L24" s="185">
        <f>'June-2'!D36</f>
        <v>-240</v>
      </c>
      <c r="M24" s="254">
        <f>'July-2'!C36</f>
        <v>-240</v>
      </c>
      <c r="N24" s="254">
        <f>'August-2'!C36</f>
        <v>-240</v>
      </c>
      <c r="O24" s="254">
        <f>'September-2'!C37</f>
        <v>-240</v>
      </c>
      <c r="P24" s="99">
        <f>'October-2'!C37</f>
        <v>-1240</v>
      </c>
      <c r="Q24" s="99">
        <f>'November-2'!C37</f>
        <v>-1240</v>
      </c>
      <c r="R24" s="99">
        <f>'December-2'!C37</f>
        <v>-1240</v>
      </c>
    </row>
    <row r="25" spans="2:18">
      <c r="B25" s="71"/>
      <c r="C25" s="100"/>
      <c r="D25" s="100"/>
      <c r="E25" s="100"/>
      <c r="F25" s="100"/>
      <c r="G25" s="139"/>
      <c r="H25" s="139"/>
      <c r="I25" s="139"/>
      <c r="J25" s="184"/>
      <c r="K25" s="184"/>
      <c r="L25" s="184"/>
      <c r="M25" s="253"/>
      <c r="N25" s="253"/>
      <c r="O25" s="253"/>
      <c r="P25" s="100"/>
      <c r="Q25" s="100"/>
      <c r="R25" s="100"/>
    </row>
    <row r="26" spans="2:18">
      <c r="B26" s="71" t="s">
        <v>264</v>
      </c>
      <c r="C26" s="100"/>
      <c r="D26" s="100"/>
      <c r="E26" s="100"/>
      <c r="F26" s="100"/>
      <c r="G26" s="139"/>
      <c r="H26" s="139"/>
      <c r="I26" s="139"/>
      <c r="J26" s="184">
        <f t="shared" ref="J26:Q26" si="6">J22+J24</f>
        <v>5860</v>
      </c>
      <c r="K26" s="184">
        <f t="shared" si="6"/>
        <v>5594.5238095238092</v>
      </c>
      <c r="L26" s="184">
        <f t="shared" si="6"/>
        <v>16107.893772893767</v>
      </c>
      <c r="M26" s="253">
        <f t="shared" si="6"/>
        <v>24909.521581080524</v>
      </c>
      <c r="N26" s="253">
        <f t="shared" si="6"/>
        <v>20168.433507309353</v>
      </c>
      <c r="O26" s="253">
        <f t="shared" si="6"/>
        <v>24033.627329192546</v>
      </c>
      <c r="P26" s="100">
        <f t="shared" si="6"/>
        <v>30726.418636056711</v>
      </c>
      <c r="Q26" s="100">
        <f t="shared" si="6"/>
        <v>59864.429848791799</v>
      </c>
      <c r="R26" s="100">
        <f t="shared" ref="R26" si="7">R22+R24</f>
        <v>99625.998972778616</v>
      </c>
    </row>
    <row r="27" spans="2:18">
      <c r="B27" s="71"/>
      <c r="C27" s="100"/>
      <c r="D27" s="100"/>
      <c r="E27" s="100"/>
      <c r="F27" s="100"/>
      <c r="G27" s="137"/>
      <c r="H27" s="137"/>
      <c r="I27" s="137"/>
      <c r="J27" s="182"/>
      <c r="K27" s="182"/>
      <c r="L27" s="182"/>
      <c r="M27" s="251"/>
      <c r="N27" s="251"/>
      <c r="O27" s="251"/>
      <c r="P27" s="311"/>
      <c r="Q27" s="311"/>
      <c r="R27" s="311"/>
    </row>
    <row r="28" spans="2:18">
      <c r="B28" s="71" t="s">
        <v>265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0">
        <f t="shared" si="8"/>
        <v>-40</v>
      </c>
      <c r="H28" s="140">
        <f t="shared" si="8"/>
        <v>-940</v>
      </c>
      <c r="I28" s="140">
        <f t="shared" si="8"/>
        <v>-380</v>
      </c>
      <c r="J28" s="185">
        <f>'April-2'!D40</f>
        <v>-1172</v>
      </c>
      <c r="K28" s="185">
        <f>'May-2'!D40</f>
        <v>-1118.9047619047619</v>
      </c>
      <c r="L28" s="185">
        <f>'June-2'!D40</f>
        <v>-3221.5787545787534</v>
      </c>
      <c r="M28" s="254">
        <f>'July-2'!C40</f>
        <v>-4981.9043162161051</v>
      </c>
      <c r="N28" s="254">
        <f>'August-2'!C40</f>
        <v>-4033.6867014618711</v>
      </c>
      <c r="O28" s="254">
        <f>'September-2'!C41</f>
        <v>-4806.7254658385091</v>
      </c>
      <c r="P28" s="99">
        <f>'October-2'!C41</f>
        <v>-6145.2837272113429</v>
      </c>
      <c r="Q28" s="99">
        <f>'November-2'!C41</f>
        <v>-11972.885969758361</v>
      </c>
      <c r="R28" s="99">
        <f>'December-2'!C41</f>
        <v>-19925.199794555723</v>
      </c>
    </row>
    <row r="29" spans="2:18">
      <c r="B29" s="71"/>
      <c r="C29" s="100"/>
      <c r="D29" s="100"/>
      <c r="E29" s="100"/>
      <c r="F29" s="100"/>
      <c r="G29" s="137"/>
      <c r="H29" s="137"/>
      <c r="I29" s="137"/>
      <c r="J29" s="182"/>
      <c r="K29" s="182"/>
      <c r="L29" s="182"/>
      <c r="M29" s="251"/>
      <c r="N29" s="251"/>
      <c r="O29" s="251"/>
      <c r="P29" s="311"/>
      <c r="Q29" s="311"/>
      <c r="R29" s="311"/>
    </row>
    <row r="30" spans="2:18">
      <c r="B30" s="71" t="s">
        <v>167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39">
        <f t="shared" si="9"/>
        <v>160</v>
      </c>
      <c r="H30" s="139">
        <f t="shared" si="9"/>
        <v>3760</v>
      </c>
      <c r="I30" s="139">
        <f t="shared" si="9"/>
        <v>1520</v>
      </c>
      <c r="J30" s="184">
        <f t="shared" ref="J30:Q30" si="10">J26+J28</f>
        <v>4688</v>
      </c>
      <c r="K30" s="184">
        <f t="shared" si="10"/>
        <v>4475.6190476190477</v>
      </c>
      <c r="L30" s="184">
        <f t="shared" si="10"/>
        <v>12886.315018315014</v>
      </c>
      <c r="M30" s="253">
        <f t="shared" si="10"/>
        <v>19927.617264864421</v>
      </c>
      <c r="N30" s="253">
        <f t="shared" si="10"/>
        <v>16134.746805847482</v>
      </c>
      <c r="O30" s="253">
        <f t="shared" si="10"/>
        <v>19226.901863354036</v>
      </c>
      <c r="P30" s="100">
        <f t="shared" si="10"/>
        <v>24581.134908845368</v>
      </c>
      <c r="Q30" s="100">
        <f t="shared" si="10"/>
        <v>47891.543879033437</v>
      </c>
      <c r="R30" s="100">
        <f t="shared" ref="R30" si="11">R26+R28</f>
        <v>79700.799178222893</v>
      </c>
    </row>
    <row r="31" spans="2:18">
      <c r="B31" s="53"/>
      <c r="C31" s="104"/>
      <c r="D31" s="104"/>
      <c r="E31" s="104"/>
      <c r="F31" s="104"/>
      <c r="G31" s="135"/>
      <c r="H31" s="135"/>
      <c r="I31" s="135"/>
      <c r="J31" s="180"/>
      <c r="K31" s="180"/>
      <c r="L31" s="180"/>
      <c r="M31" s="249"/>
      <c r="N31" s="249"/>
      <c r="O31" s="249"/>
      <c r="P31" s="313"/>
      <c r="Q31" s="313"/>
      <c r="R31" s="313"/>
    </row>
    <row r="47" spans="2:18">
      <c r="B47" s="50"/>
      <c r="C47" s="102"/>
      <c r="D47" s="102"/>
      <c r="E47" s="102"/>
      <c r="F47" s="102"/>
      <c r="G47" s="133"/>
      <c r="H47" s="133"/>
      <c r="I47" s="133"/>
      <c r="J47" s="178"/>
      <c r="K47" s="178"/>
      <c r="L47" s="178"/>
      <c r="M47" s="247"/>
      <c r="N47" s="247"/>
      <c r="O47" s="247"/>
      <c r="P47" s="271"/>
      <c r="Q47" s="271"/>
      <c r="R47" s="271"/>
    </row>
    <row r="48" spans="2:18" ht="19">
      <c r="B48" s="80" t="s">
        <v>64</v>
      </c>
      <c r="C48" s="98" t="str">
        <f>C$5</f>
        <v>September</v>
      </c>
      <c r="D48" s="98" t="str">
        <f t="shared" ref="D48:R48" si="12">D$5</f>
        <v>October</v>
      </c>
      <c r="E48" s="98" t="str">
        <f t="shared" si="12"/>
        <v>November</v>
      </c>
      <c r="F48" s="98" t="str">
        <f t="shared" si="12"/>
        <v>December</v>
      </c>
      <c r="G48" s="146" t="str">
        <f t="shared" si="12"/>
        <v>January</v>
      </c>
      <c r="H48" s="146" t="str">
        <f t="shared" si="12"/>
        <v>February</v>
      </c>
      <c r="I48" s="146" t="str">
        <f t="shared" si="12"/>
        <v>March</v>
      </c>
      <c r="J48" s="190" t="str">
        <f t="shared" si="12"/>
        <v>April</v>
      </c>
      <c r="K48" s="190" t="str">
        <f t="shared" si="12"/>
        <v>May</v>
      </c>
      <c r="L48" s="190" t="str">
        <f t="shared" si="12"/>
        <v>June</v>
      </c>
      <c r="M48" s="259" t="str">
        <f t="shared" si="12"/>
        <v>July</v>
      </c>
      <c r="N48" s="259" t="str">
        <f t="shared" si="12"/>
        <v>August</v>
      </c>
      <c r="O48" s="259" t="str">
        <f t="shared" si="12"/>
        <v>September</v>
      </c>
      <c r="P48" s="98" t="str">
        <f t="shared" si="12"/>
        <v>October</v>
      </c>
      <c r="Q48" s="98" t="str">
        <f t="shared" si="12"/>
        <v>November</v>
      </c>
      <c r="R48" s="98" t="str">
        <f t="shared" si="12"/>
        <v>December</v>
      </c>
    </row>
    <row r="49" spans="2:18">
      <c r="B49" s="53"/>
      <c r="C49" s="104"/>
      <c r="D49" s="104"/>
      <c r="E49" s="104"/>
      <c r="F49" s="104"/>
      <c r="G49" s="135"/>
      <c r="H49" s="135"/>
      <c r="I49" s="135"/>
      <c r="J49" s="180"/>
      <c r="K49" s="180"/>
      <c r="L49" s="180"/>
      <c r="M49" s="249"/>
      <c r="N49" s="249"/>
      <c r="O49" s="249"/>
      <c r="P49" s="313"/>
      <c r="Q49" s="313"/>
      <c r="R49" s="313"/>
    </row>
    <row r="50" spans="2:18">
      <c r="B50" s="50"/>
      <c r="C50" s="102"/>
      <c r="D50" s="102"/>
      <c r="E50" s="102"/>
      <c r="F50" s="102"/>
      <c r="G50" s="133"/>
      <c r="H50" s="133"/>
      <c r="I50" s="133"/>
      <c r="J50" s="178"/>
      <c r="K50" s="178"/>
      <c r="L50" s="178"/>
      <c r="M50" s="247"/>
      <c r="N50" s="247"/>
      <c r="O50" s="247"/>
      <c r="P50" s="271"/>
      <c r="Q50" s="271"/>
      <c r="R50" s="271"/>
    </row>
    <row r="51" spans="2:18">
      <c r="B51" s="71" t="s">
        <v>65</v>
      </c>
      <c r="C51" s="105">
        <f t="shared" ref="C51:Q51" si="13">C8/C$8</f>
        <v>1</v>
      </c>
      <c r="D51" s="105">
        <f t="shared" si="13"/>
        <v>1</v>
      </c>
      <c r="E51" s="105">
        <f t="shared" si="13"/>
        <v>1</v>
      </c>
      <c r="F51" s="105">
        <f t="shared" si="13"/>
        <v>1</v>
      </c>
      <c r="G51" s="141">
        <f t="shared" si="13"/>
        <v>1</v>
      </c>
      <c r="H51" s="141">
        <f t="shared" si="13"/>
        <v>1</v>
      </c>
      <c r="I51" s="141">
        <f t="shared" si="13"/>
        <v>1</v>
      </c>
      <c r="J51" s="186">
        <f t="shared" si="13"/>
        <v>1</v>
      </c>
      <c r="K51" s="186">
        <f t="shared" si="13"/>
        <v>1</v>
      </c>
      <c r="L51" s="186">
        <f t="shared" si="13"/>
        <v>1</v>
      </c>
      <c r="M51" s="255">
        <f t="shared" si="13"/>
        <v>1</v>
      </c>
      <c r="N51" s="255">
        <f t="shared" si="13"/>
        <v>1</v>
      </c>
      <c r="O51" s="255">
        <f t="shared" si="13"/>
        <v>1</v>
      </c>
      <c r="P51" s="314">
        <f t="shared" si="13"/>
        <v>1</v>
      </c>
      <c r="Q51" s="314">
        <f t="shared" si="13"/>
        <v>1</v>
      </c>
      <c r="R51" s="314">
        <f t="shared" ref="R51" si="14">R8/R$8</f>
        <v>1</v>
      </c>
    </row>
    <row r="52" spans="2:18">
      <c r="B52" s="71"/>
      <c r="C52" s="100"/>
      <c r="D52" s="100"/>
      <c r="E52" s="100"/>
      <c r="F52" s="100"/>
      <c r="G52" s="136"/>
      <c r="H52" s="136"/>
      <c r="I52" s="136"/>
      <c r="J52" s="181"/>
      <c r="K52" s="181"/>
      <c r="L52" s="181"/>
      <c r="M52" s="250"/>
      <c r="N52" s="250"/>
      <c r="O52" s="250"/>
      <c r="P52" s="238"/>
      <c r="Q52" s="238"/>
      <c r="R52" s="238"/>
    </row>
    <row r="53" spans="2:18">
      <c r="B53" s="71" t="s">
        <v>187</v>
      </c>
      <c r="C53" s="106">
        <f t="shared" ref="C53:Q53" si="15">C10/C$8</f>
        <v>-0.66666666666666663</v>
      </c>
      <c r="D53" s="106">
        <f t="shared" si="15"/>
        <v>-0.72727272727272729</v>
      </c>
      <c r="E53" s="106">
        <f t="shared" si="15"/>
        <v>-0.7407407407407407</v>
      </c>
      <c r="F53" s="106">
        <f t="shared" si="15"/>
        <v>-0.72222222222222221</v>
      </c>
      <c r="G53" s="142">
        <f t="shared" si="15"/>
        <v>-0.72727272727272729</v>
      </c>
      <c r="H53" s="142">
        <f t="shared" si="15"/>
        <v>-0.72463768115942029</v>
      </c>
      <c r="I53" s="142">
        <f t="shared" si="15"/>
        <v>-0.72727272727272729</v>
      </c>
      <c r="J53" s="187">
        <f t="shared" si="15"/>
        <v>-0.72380952380952379</v>
      </c>
      <c r="K53" s="187">
        <f t="shared" si="15"/>
        <v>-0.76471861471861469</v>
      </c>
      <c r="L53" s="187">
        <f t="shared" si="15"/>
        <v>-0.68870573870573881</v>
      </c>
      <c r="M53" s="256">
        <f t="shared" si="15"/>
        <v>-0.66281887858210531</v>
      </c>
      <c r="N53" s="256">
        <f t="shared" si="15"/>
        <v>-0.65704245824631724</v>
      </c>
      <c r="O53" s="256">
        <f t="shared" si="15"/>
        <v>-0.66150104400687193</v>
      </c>
      <c r="P53" s="315">
        <f t="shared" si="15"/>
        <v>-0.66185322979968497</v>
      </c>
      <c r="Q53" s="315">
        <f t="shared" si="15"/>
        <v>-0.65712598152841217</v>
      </c>
      <c r="R53" s="315">
        <f t="shared" ref="R53" si="16">R10/R$8</f>
        <v>-0.63953889174228162</v>
      </c>
    </row>
    <row r="54" spans="2:18">
      <c r="B54" s="71"/>
      <c r="C54" s="100"/>
      <c r="D54" s="100"/>
      <c r="E54" s="100"/>
      <c r="F54" s="100"/>
      <c r="G54" s="136"/>
      <c r="H54" s="136"/>
      <c r="I54" s="136"/>
      <c r="J54" s="181"/>
      <c r="K54" s="181"/>
      <c r="L54" s="181"/>
      <c r="M54" s="250"/>
      <c r="N54" s="250"/>
      <c r="O54" s="250"/>
      <c r="P54" s="238"/>
      <c r="Q54" s="238"/>
      <c r="R54" s="238"/>
    </row>
    <row r="55" spans="2:18">
      <c r="B55" s="71" t="s">
        <v>108</v>
      </c>
      <c r="C55" s="105">
        <f t="shared" ref="C55:Q55" si="17">C12/C$8</f>
        <v>0.33333333333333331</v>
      </c>
      <c r="D55" s="105">
        <f t="shared" si="17"/>
        <v>0.27272727272727271</v>
      </c>
      <c r="E55" s="105">
        <f t="shared" si="17"/>
        <v>0.25925925925925924</v>
      </c>
      <c r="F55" s="105">
        <f t="shared" si="17"/>
        <v>0.27777777777777779</v>
      </c>
      <c r="G55" s="141">
        <f t="shared" si="17"/>
        <v>0.27272727272727271</v>
      </c>
      <c r="H55" s="141">
        <f t="shared" si="17"/>
        <v>0.27536231884057971</v>
      </c>
      <c r="I55" s="141">
        <f t="shared" si="17"/>
        <v>0.27272727272727271</v>
      </c>
      <c r="J55" s="186">
        <f t="shared" si="17"/>
        <v>0.27619047619047621</v>
      </c>
      <c r="K55" s="186">
        <f t="shared" si="17"/>
        <v>0.23528138528138529</v>
      </c>
      <c r="L55" s="186">
        <f t="shared" si="17"/>
        <v>0.31129426129426124</v>
      </c>
      <c r="M55" s="255">
        <f t="shared" si="17"/>
        <v>0.33718112141789469</v>
      </c>
      <c r="N55" s="255">
        <f t="shared" si="17"/>
        <v>0.34295754175368276</v>
      </c>
      <c r="O55" s="255">
        <f t="shared" si="17"/>
        <v>0.33849895599312807</v>
      </c>
      <c r="P55" s="314">
        <f t="shared" si="17"/>
        <v>0.33814677020031508</v>
      </c>
      <c r="Q55" s="314">
        <f t="shared" si="17"/>
        <v>0.34287401847158783</v>
      </c>
      <c r="R55" s="314">
        <f t="shared" ref="R55" si="18">R12/R$8</f>
        <v>0.36046110825771838</v>
      </c>
    </row>
    <row r="56" spans="2:18">
      <c r="B56" s="71"/>
      <c r="C56" s="100"/>
      <c r="D56" s="100"/>
      <c r="E56" s="100"/>
      <c r="F56" s="100"/>
      <c r="G56" s="136"/>
      <c r="H56" s="136"/>
      <c r="I56" s="136"/>
      <c r="J56" s="181"/>
      <c r="K56" s="181"/>
      <c r="L56" s="181"/>
      <c r="M56" s="250"/>
      <c r="N56" s="250"/>
      <c r="O56" s="250"/>
      <c r="P56" s="238"/>
      <c r="Q56" s="238"/>
      <c r="R56" s="238"/>
    </row>
    <row r="57" spans="2:18">
      <c r="B57" s="71" t="s">
        <v>99</v>
      </c>
      <c r="C57" s="105">
        <f t="shared" ref="C57:Q59" si="19">C14/C$8</f>
        <v>-0.16666666666666666</v>
      </c>
      <c r="D57" s="105">
        <f t="shared" si="19"/>
        <v>-9.0909090909090912E-2</v>
      </c>
      <c r="E57" s="105">
        <f t="shared" si="19"/>
        <v>-7.407407407407407E-2</v>
      </c>
      <c r="F57" s="105">
        <f t="shared" si="19"/>
        <v>-5.5555555555555552E-2</v>
      </c>
      <c r="G57" s="141">
        <f t="shared" si="19"/>
        <v>-7.2727272727272724E-2</v>
      </c>
      <c r="H57" s="141">
        <f t="shared" si="19"/>
        <v>-5.7971014492753624E-2</v>
      </c>
      <c r="I57" s="141">
        <f t="shared" si="19"/>
        <v>-7.792207792207792E-2</v>
      </c>
      <c r="J57" s="186">
        <f t="shared" si="19"/>
        <v>-5.7142857142857141E-2</v>
      </c>
      <c r="K57" s="186">
        <f t="shared" si="19"/>
        <v>-4.9586776859504134E-2</v>
      </c>
      <c r="L57" s="186">
        <f t="shared" si="19"/>
        <v>-3.7735849056603772E-2</v>
      </c>
      <c r="M57" s="255">
        <f t="shared" si="19"/>
        <v>-3.015075376884422E-2</v>
      </c>
      <c r="N57" s="255">
        <f t="shared" si="19"/>
        <v>-3.5714285714285712E-2</v>
      </c>
      <c r="O57" s="255">
        <f t="shared" si="19"/>
        <v>-2.553191489361702E-2</v>
      </c>
      <c r="P57" s="314">
        <f t="shared" si="19"/>
        <v>-2.7777777777777776E-2</v>
      </c>
      <c r="Q57" s="314">
        <f t="shared" si="19"/>
        <v>-1.9047619047619049E-2</v>
      </c>
      <c r="R57" s="314">
        <f t="shared" ref="R57" si="20">R14/R$8</f>
        <v>-1.3888888888888888E-2</v>
      </c>
    </row>
    <row r="58" spans="2:18">
      <c r="B58" s="71" t="s">
        <v>100</v>
      </c>
      <c r="C58" s="100"/>
      <c r="D58" s="100"/>
      <c r="E58" s="105">
        <f t="shared" si="19"/>
        <v>-4.8148148148148148E-2</v>
      </c>
      <c r="F58" s="105">
        <f t="shared" si="19"/>
        <v>-3.6111111111111108E-2</v>
      </c>
      <c r="G58" s="141">
        <f t="shared" si="19"/>
        <v>-4.7272727272727272E-2</v>
      </c>
      <c r="H58" s="141">
        <f t="shared" si="19"/>
        <v>-3.7681159420289857E-2</v>
      </c>
      <c r="I58" s="141">
        <f t="shared" si="19"/>
        <v>-6.7532467532467527E-2</v>
      </c>
      <c r="J58" s="186">
        <f t="shared" si="19"/>
        <v>-7.4285714285714288E-2</v>
      </c>
      <c r="K58" s="186">
        <f t="shared" si="19"/>
        <v>-6.4462809917355368E-2</v>
      </c>
      <c r="L58" s="186">
        <f t="shared" si="19"/>
        <v>-4.9056603773584909E-2</v>
      </c>
      <c r="M58" s="255">
        <f t="shared" si="19"/>
        <v>-3.9195979899497489E-2</v>
      </c>
      <c r="N58" s="255">
        <f t="shared" si="19"/>
        <v>-4.642857142857143E-2</v>
      </c>
      <c r="O58" s="255">
        <f t="shared" si="19"/>
        <v>-5.5319148936170209E-2</v>
      </c>
      <c r="P58" s="314">
        <f t="shared" si="19"/>
        <v>-5.7777777777777775E-2</v>
      </c>
      <c r="Q58" s="314">
        <f t="shared" si="19"/>
        <v>-3.9619047619047616E-2</v>
      </c>
      <c r="R58" s="314">
        <f t="shared" ref="R58" si="21">R15/R$8</f>
        <v>-2.8888888888888888E-2</v>
      </c>
    </row>
    <row r="59" spans="2:18">
      <c r="B59" s="71" t="s">
        <v>188</v>
      </c>
      <c r="C59" s="100"/>
      <c r="D59" s="100"/>
      <c r="E59" s="100"/>
      <c r="F59" s="100"/>
      <c r="G59" s="136"/>
      <c r="H59" s="141">
        <f t="shared" si="19"/>
        <v>-4.3478260869565216E-2</v>
      </c>
      <c r="I59" s="141">
        <f t="shared" si="19"/>
        <v>-7.792207792207792E-2</v>
      </c>
      <c r="J59" s="186">
        <f t="shared" si="19"/>
        <v>-2.8571428571428571E-2</v>
      </c>
      <c r="K59" s="186">
        <f t="shared" si="19"/>
        <v>-2.4793388429752067E-2</v>
      </c>
      <c r="L59" s="186">
        <f t="shared" si="19"/>
        <v>-1.8867924528301886E-2</v>
      </c>
      <c r="M59" s="255">
        <f t="shared" si="19"/>
        <v>-1.507537688442211E-2</v>
      </c>
      <c r="N59" s="255">
        <f t="shared" si="19"/>
        <v>-1.7857142857142856E-2</v>
      </c>
      <c r="O59" s="255">
        <f t="shared" si="19"/>
        <v>-5.106382978723404E-2</v>
      </c>
      <c r="P59" s="314">
        <f t="shared" si="19"/>
        <v>-4.1666666666666664E-2</v>
      </c>
      <c r="Q59" s="314">
        <f t="shared" si="19"/>
        <v>-2.8571428571428571E-2</v>
      </c>
      <c r="R59" s="314">
        <f t="shared" ref="R59" si="22">R16/R$8</f>
        <v>-2.0833333333333332E-2</v>
      </c>
    </row>
    <row r="60" spans="2:18">
      <c r="B60" s="71" t="s">
        <v>355</v>
      </c>
      <c r="C60" s="99"/>
      <c r="D60" s="99"/>
      <c r="E60" s="99"/>
      <c r="F60" s="99"/>
      <c r="G60" s="138"/>
      <c r="H60" s="142"/>
      <c r="I60" s="142"/>
      <c r="J60" s="187"/>
      <c r="K60" s="187"/>
      <c r="L60" s="187"/>
      <c r="M60" s="256"/>
      <c r="N60" s="256"/>
      <c r="O60" s="256"/>
      <c r="P60" s="315"/>
      <c r="Q60" s="315"/>
      <c r="R60" s="315"/>
    </row>
    <row r="61" spans="2:18">
      <c r="B61" s="71"/>
      <c r="C61" s="100"/>
      <c r="D61" s="100"/>
      <c r="E61" s="100"/>
      <c r="F61" s="100"/>
      <c r="G61" s="136"/>
      <c r="H61" s="136"/>
      <c r="I61" s="136"/>
      <c r="J61" s="181"/>
      <c r="K61" s="181"/>
      <c r="L61" s="181"/>
      <c r="M61" s="250"/>
      <c r="N61" s="250"/>
      <c r="O61" s="250"/>
      <c r="P61" s="238"/>
      <c r="Q61" s="238"/>
      <c r="R61" s="238"/>
    </row>
    <row r="62" spans="2:18">
      <c r="B62" s="71" t="s">
        <v>181</v>
      </c>
      <c r="C62" s="105">
        <f t="shared" ref="C62:Q62" si="23">C19/C$8</f>
        <v>0.16666666666666666</v>
      </c>
      <c r="D62" s="105">
        <f t="shared" si="23"/>
        <v>0.18181818181818182</v>
      </c>
      <c r="E62" s="105">
        <f t="shared" si="23"/>
        <v>0.13703703703703704</v>
      </c>
      <c r="F62" s="105">
        <f t="shared" si="23"/>
        <v>0.18611111111111112</v>
      </c>
      <c r="G62" s="141">
        <f t="shared" si="23"/>
        <v>0.15272727272727274</v>
      </c>
      <c r="H62" s="141">
        <f t="shared" si="23"/>
        <v>0.13623188405797101</v>
      </c>
      <c r="I62" s="141">
        <f t="shared" si="23"/>
        <v>4.9350649350649353E-2</v>
      </c>
      <c r="J62" s="186">
        <f t="shared" si="23"/>
        <v>0.11619047619047619</v>
      </c>
      <c r="K62" s="186">
        <f t="shared" si="23"/>
        <v>9.6438410074773703E-2</v>
      </c>
      <c r="L62" s="186">
        <f t="shared" si="23"/>
        <v>0.20563388393577064</v>
      </c>
      <c r="M62" s="255">
        <f t="shared" si="23"/>
        <v>0.25275901086513092</v>
      </c>
      <c r="N62" s="255">
        <f t="shared" si="23"/>
        <v>0.24295754175368278</v>
      </c>
      <c r="O62" s="255">
        <f t="shared" si="23"/>
        <v>0.20658406237610677</v>
      </c>
      <c r="P62" s="314">
        <f t="shared" si="23"/>
        <v>0.17759121464475949</v>
      </c>
      <c r="Q62" s="314">
        <f t="shared" si="23"/>
        <v>0.23277878037634972</v>
      </c>
      <c r="R62" s="314">
        <f t="shared" ref="R62" si="24">R19/R$8</f>
        <v>0.2801833304799406</v>
      </c>
    </row>
    <row r="63" spans="2:18">
      <c r="B63" s="71" t="s">
        <v>161</v>
      </c>
      <c r="C63" s="106"/>
      <c r="D63" s="106"/>
      <c r="E63" s="106"/>
      <c r="F63" s="106"/>
      <c r="G63" s="142">
        <f>G20/G$8</f>
        <v>-0.14545454545454545</v>
      </c>
      <c r="H63" s="142"/>
      <c r="I63" s="142"/>
      <c r="J63" s="187"/>
      <c r="K63" s="187"/>
      <c r="L63" s="187"/>
      <c r="M63" s="256"/>
      <c r="N63" s="256"/>
      <c r="O63" s="256"/>
      <c r="P63" s="315"/>
      <c r="Q63" s="315"/>
      <c r="R63" s="315"/>
    </row>
    <row r="64" spans="2:18">
      <c r="B64" s="71"/>
      <c r="C64" s="105"/>
      <c r="D64" s="105"/>
      <c r="E64" s="105"/>
      <c r="F64" s="105"/>
      <c r="G64" s="141"/>
      <c r="H64" s="141"/>
      <c r="I64" s="141"/>
      <c r="J64" s="186"/>
      <c r="K64" s="186"/>
      <c r="L64" s="186"/>
      <c r="M64" s="255"/>
      <c r="N64" s="255"/>
      <c r="O64" s="255"/>
      <c r="P64" s="314"/>
      <c r="Q64" s="314"/>
      <c r="R64" s="314"/>
    </row>
    <row r="65" spans="2:18">
      <c r="B65" s="71" t="s">
        <v>144</v>
      </c>
      <c r="C65" s="105">
        <f>C62+C63</f>
        <v>0.16666666666666666</v>
      </c>
      <c r="D65" s="105">
        <f t="shared" ref="D65:Q65" si="25">D62+D63</f>
        <v>0.18181818181818182</v>
      </c>
      <c r="E65" s="105">
        <f t="shared" si="25"/>
        <v>0.13703703703703704</v>
      </c>
      <c r="F65" s="105">
        <f t="shared" si="25"/>
        <v>0.18611111111111112</v>
      </c>
      <c r="G65" s="143">
        <f t="shared" si="25"/>
        <v>7.2727272727272918E-3</v>
      </c>
      <c r="H65" s="143">
        <f t="shared" si="25"/>
        <v>0.13623188405797101</v>
      </c>
      <c r="I65" s="143">
        <f t="shared" si="25"/>
        <v>4.9350649350649353E-2</v>
      </c>
      <c r="J65" s="188">
        <f t="shared" si="25"/>
        <v>0.11619047619047619</v>
      </c>
      <c r="K65" s="188">
        <f t="shared" si="25"/>
        <v>9.6438410074773703E-2</v>
      </c>
      <c r="L65" s="188">
        <f t="shared" si="25"/>
        <v>0.20563388393577064</v>
      </c>
      <c r="M65" s="257">
        <f t="shared" si="25"/>
        <v>0.25275901086513092</v>
      </c>
      <c r="N65" s="257">
        <f t="shared" si="25"/>
        <v>0.24295754175368278</v>
      </c>
      <c r="O65" s="257">
        <f t="shared" si="25"/>
        <v>0.20658406237610677</v>
      </c>
      <c r="P65" s="105">
        <f t="shared" si="25"/>
        <v>0.17759121464475949</v>
      </c>
      <c r="Q65" s="105">
        <f t="shared" si="25"/>
        <v>0.23277878037634972</v>
      </c>
      <c r="R65" s="105">
        <f t="shared" ref="R65" si="26">R62+R63</f>
        <v>0.2801833304799406</v>
      </c>
    </row>
    <row r="66" spans="2:18">
      <c r="B66" s="71"/>
      <c r="C66" s="105"/>
      <c r="D66" s="105"/>
      <c r="E66" s="105"/>
      <c r="F66" s="105"/>
      <c r="G66" s="143"/>
      <c r="H66" s="143"/>
      <c r="I66" s="143"/>
      <c r="J66" s="188"/>
      <c r="K66" s="188"/>
      <c r="L66" s="188"/>
      <c r="M66" s="257"/>
      <c r="N66" s="257"/>
      <c r="O66" s="257"/>
      <c r="P66" s="105"/>
      <c r="Q66" s="105"/>
      <c r="R66" s="105"/>
    </row>
    <row r="67" spans="2:18">
      <c r="B67" s="71" t="s">
        <v>263</v>
      </c>
      <c r="C67" s="106"/>
      <c r="D67" s="106"/>
      <c r="E67" s="106"/>
      <c r="F67" s="106"/>
      <c r="G67" s="144"/>
      <c r="H67" s="144"/>
      <c r="I67" s="144"/>
      <c r="J67" s="187">
        <f t="shared" ref="J67:Q67" si="27">J24/J$8</f>
        <v>-4.5714285714285718E-3</v>
      </c>
      <c r="K67" s="187">
        <f t="shared" si="27"/>
        <v>-3.9669421487603307E-3</v>
      </c>
      <c r="L67" s="187">
        <f t="shared" si="27"/>
        <v>-3.0188679245283017E-3</v>
      </c>
      <c r="M67" s="256">
        <f t="shared" si="27"/>
        <v>-2.4120603015075378E-3</v>
      </c>
      <c r="N67" s="256">
        <f t="shared" si="27"/>
        <v>-2.8571428571428571E-3</v>
      </c>
      <c r="O67" s="256">
        <f t="shared" si="27"/>
        <v>-2.0425531914893616E-3</v>
      </c>
      <c r="P67" s="315">
        <f t="shared" si="27"/>
        <v>-6.8888888888888888E-3</v>
      </c>
      <c r="Q67" s="315">
        <f t="shared" si="27"/>
        <v>-4.7238095238095242E-3</v>
      </c>
      <c r="R67" s="315">
        <f t="shared" ref="R67" si="28">R24/R$8</f>
        <v>-3.4444444444444444E-3</v>
      </c>
    </row>
    <row r="68" spans="2:18">
      <c r="B68" s="71"/>
      <c r="C68" s="105"/>
      <c r="D68" s="105"/>
      <c r="E68" s="105"/>
      <c r="F68" s="105"/>
      <c r="G68" s="143"/>
      <c r="H68" s="143"/>
      <c r="I68" s="143"/>
      <c r="J68" s="188"/>
      <c r="K68" s="188"/>
      <c r="L68" s="188"/>
      <c r="M68" s="257"/>
      <c r="N68" s="257"/>
      <c r="O68" s="257"/>
      <c r="P68" s="105"/>
      <c r="Q68" s="105"/>
      <c r="R68" s="105"/>
    </row>
    <row r="69" spans="2:18">
      <c r="B69" s="71" t="s">
        <v>264</v>
      </c>
      <c r="C69" s="105"/>
      <c r="D69" s="105"/>
      <c r="E69" s="105"/>
      <c r="F69" s="105"/>
      <c r="G69" s="143"/>
      <c r="H69" s="143"/>
      <c r="I69" s="143"/>
      <c r="J69" s="188">
        <f t="shared" ref="J69:Q69" si="29">J65+J67</f>
        <v>0.11161904761904762</v>
      </c>
      <c r="K69" s="188">
        <f t="shared" si="29"/>
        <v>9.2471467926013379E-2</v>
      </c>
      <c r="L69" s="188">
        <f t="shared" si="29"/>
        <v>0.20261501601124235</v>
      </c>
      <c r="M69" s="257">
        <f t="shared" si="29"/>
        <v>0.25034695056362338</v>
      </c>
      <c r="N69" s="257">
        <f t="shared" si="29"/>
        <v>0.24010039889653992</v>
      </c>
      <c r="O69" s="257">
        <f t="shared" si="29"/>
        <v>0.20454150918461741</v>
      </c>
      <c r="P69" s="105">
        <f t="shared" si="29"/>
        <v>0.1707023257558706</v>
      </c>
      <c r="Q69" s="105">
        <f t="shared" si="29"/>
        <v>0.2280549708525402</v>
      </c>
      <c r="R69" s="105">
        <f t="shared" ref="R69" si="30">R65+R67</f>
        <v>0.27673888603549612</v>
      </c>
    </row>
    <row r="70" spans="2:18">
      <c r="B70" s="71"/>
      <c r="C70" s="100"/>
      <c r="D70" s="100"/>
      <c r="E70" s="100"/>
      <c r="F70" s="100"/>
      <c r="G70" s="136"/>
      <c r="H70" s="136"/>
      <c r="I70" s="136"/>
      <c r="J70" s="181"/>
      <c r="K70" s="181"/>
      <c r="L70" s="181"/>
      <c r="M70" s="250"/>
      <c r="N70" s="250"/>
      <c r="O70" s="250"/>
      <c r="P70" s="238"/>
      <c r="Q70" s="238"/>
      <c r="R70" s="238"/>
    </row>
    <row r="71" spans="2:18">
      <c r="B71" s="71" t="s">
        <v>265</v>
      </c>
      <c r="C71" s="106">
        <f t="shared" ref="C71:Q71" si="31">C28/C$8</f>
        <v>-3.3333333333333333E-2</v>
      </c>
      <c r="D71" s="106">
        <f t="shared" si="31"/>
        <v>-3.6363636363636362E-2</v>
      </c>
      <c r="E71" s="106">
        <f t="shared" si="31"/>
        <v>-2.7407407407407408E-2</v>
      </c>
      <c r="F71" s="106">
        <f t="shared" si="31"/>
        <v>-3.7222222222222219E-2</v>
      </c>
      <c r="G71" s="142">
        <f t="shared" si="31"/>
        <v>-1.4545454545454545E-3</v>
      </c>
      <c r="H71" s="142">
        <f t="shared" si="31"/>
        <v>-2.7246376811594204E-2</v>
      </c>
      <c r="I71" s="142">
        <f t="shared" si="31"/>
        <v>-9.870129870129871E-3</v>
      </c>
      <c r="J71" s="187">
        <f t="shared" si="31"/>
        <v>-2.2323809523809524E-2</v>
      </c>
      <c r="K71" s="187">
        <f t="shared" si="31"/>
        <v>-1.8494293585202676E-2</v>
      </c>
      <c r="L71" s="187">
        <f t="shared" si="31"/>
        <v>-4.052300320224847E-2</v>
      </c>
      <c r="M71" s="256">
        <f t="shared" si="31"/>
        <v>-5.0069390112724675E-2</v>
      </c>
      <c r="N71" s="256">
        <f t="shared" si="31"/>
        <v>-4.8020079779307986E-2</v>
      </c>
      <c r="O71" s="256">
        <f t="shared" si="31"/>
        <v>-4.0908301836923483E-2</v>
      </c>
      <c r="P71" s="315">
        <f t="shared" si="31"/>
        <v>-3.4140465151174131E-2</v>
      </c>
      <c r="Q71" s="315">
        <f t="shared" si="31"/>
        <v>-4.561099417050804E-2</v>
      </c>
      <c r="R71" s="315">
        <f t="shared" ref="R71" si="32">R28/R$8</f>
        <v>-5.5347777207099234E-2</v>
      </c>
    </row>
    <row r="72" spans="2:18">
      <c r="B72" s="71"/>
      <c r="C72" s="100"/>
      <c r="D72" s="100"/>
      <c r="E72" s="100"/>
      <c r="F72" s="100"/>
      <c r="G72" s="136"/>
      <c r="H72" s="136"/>
      <c r="I72" s="136"/>
      <c r="J72" s="181"/>
      <c r="K72" s="181"/>
      <c r="L72" s="181"/>
      <c r="M72" s="250"/>
      <c r="N72" s="250"/>
      <c r="O72" s="250"/>
      <c r="P72" s="238"/>
      <c r="Q72" s="238"/>
      <c r="R72" s="238"/>
    </row>
    <row r="73" spans="2:18">
      <c r="B73" s="71" t="s">
        <v>167</v>
      </c>
      <c r="C73" s="105">
        <f t="shared" ref="C73:I73" si="33">C30/C$8</f>
        <v>0.13333333333333333</v>
      </c>
      <c r="D73" s="105">
        <f t="shared" si="33"/>
        <v>0.14545454545454545</v>
      </c>
      <c r="E73" s="105">
        <f t="shared" si="33"/>
        <v>0.10962962962962963</v>
      </c>
      <c r="F73" s="105">
        <f t="shared" si="33"/>
        <v>0.14888888888888888</v>
      </c>
      <c r="G73" s="141">
        <f t="shared" si="33"/>
        <v>5.8181818181818178E-3</v>
      </c>
      <c r="H73" s="141">
        <f t="shared" si="33"/>
        <v>0.10898550724637682</v>
      </c>
      <c r="I73" s="141">
        <f t="shared" si="33"/>
        <v>3.9480519480519484E-2</v>
      </c>
      <c r="J73" s="186">
        <f t="shared" ref="J73:Q73" si="34">J69+J71</f>
        <v>8.9295238095238094E-2</v>
      </c>
      <c r="K73" s="186">
        <f t="shared" si="34"/>
        <v>7.3977174340810706E-2</v>
      </c>
      <c r="L73" s="186">
        <f t="shared" si="34"/>
        <v>0.16209201280899388</v>
      </c>
      <c r="M73" s="255">
        <f t="shared" si="34"/>
        <v>0.2002775604508987</v>
      </c>
      <c r="N73" s="255">
        <f t="shared" si="34"/>
        <v>0.19208031911723195</v>
      </c>
      <c r="O73" s="255">
        <f t="shared" si="34"/>
        <v>0.16363320734769393</v>
      </c>
      <c r="P73" s="314">
        <f t="shared" si="34"/>
        <v>0.13656186060469647</v>
      </c>
      <c r="Q73" s="314">
        <f t="shared" si="34"/>
        <v>0.18244397668203216</v>
      </c>
      <c r="R73" s="314">
        <f t="shared" ref="R73" si="35">R69+R71</f>
        <v>0.22139110882839688</v>
      </c>
    </row>
    <row r="74" spans="2:18">
      <c r="B74" s="53"/>
      <c r="C74" s="104"/>
      <c r="D74" s="104"/>
      <c r="E74" s="104"/>
      <c r="F74" s="104"/>
      <c r="G74" s="135"/>
      <c r="H74" s="135"/>
      <c r="I74" s="135"/>
      <c r="J74" s="180"/>
      <c r="K74" s="180"/>
      <c r="L74" s="180"/>
      <c r="M74" s="249"/>
      <c r="N74" s="249"/>
      <c r="O74" s="249"/>
      <c r="P74" s="313"/>
      <c r="Q74" s="313"/>
      <c r="R74" s="313"/>
    </row>
    <row r="75" spans="2:18">
      <c r="B75" s="50"/>
      <c r="C75" s="102"/>
      <c r="D75" s="102"/>
      <c r="E75" s="102"/>
      <c r="F75" s="102"/>
      <c r="G75" s="133"/>
      <c r="H75" s="133"/>
      <c r="I75" s="133"/>
      <c r="J75" s="178"/>
      <c r="K75" s="178"/>
      <c r="L75" s="178"/>
      <c r="M75" s="247"/>
      <c r="N75" s="247"/>
      <c r="O75" s="247"/>
      <c r="P75" s="271"/>
      <c r="Q75" s="271"/>
      <c r="R75" s="271"/>
    </row>
    <row r="76" spans="2:18">
      <c r="B76" s="130" t="s">
        <v>29</v>
      </c>
      <c r="C76" s="372">
        <f>C111/C8</f>
        <v>0.16666666666666666</v>
      </c>
      <c r="D76" s="372">
        <f t="shared" ref="D76:R76" si="36">D111/D8</f>
        <v>0.18181818181818182</v>
      </c>
      <c r="E76" s="372">
        <f t="shared" si="36"/>
        <v>0.13703703703703704</v>
      </c>
      <c r="F76" s="372">
        <f t="shared" si="36"/>
        <v>0.18611111111111112</v>
      </c>
      <c r="G76" s="373">
        <f>-G63+G111/G8</f>
        <v>0.15272727272727271</v>
      </c>
      <c r="H76" s="373">
        <f t="shared" si="36"/>
        <v>0.13623188405797101</v>
      </c>
      <c r="I76" s="373">
        <f t="shared" si="36"/>
        <v>4.9350649350649353E-2</v>
      </c>
      <c r="J76" s="374">
        <f t="shared" si="36"/>
        <v>0.13523809523809524</v>
      </c>
      <c r="K76" s="374">
        <f t="shared" si="36"/>
        <v>0.11296733569460841</v>
      </c>
      <c r="L76" s="374">
        <f t="shared" si="36"/>
        <v>0.21821250028797193</v>
      </c>
      <c r="M76" s="375">
        <f t="shared" si="36"/>
        <v>0.26280926212141231</v>
      </c>
      <c r="N76" s="375">
        <f t="shared" si="36"/>
        <v>0.2548623036584447</v>
      </c>
      <c r="O76" s="375">
        <f t="shared" si="36"/>
        <v>0.21509470067397912</v>
      </c>
      <c r="P76" s="372">
        <f t="shared" si="36"/>
        <v>0.21370232575587061</v>
      </c>
      <c r="Q76" s="372">
        <f t="shared" si="36"/>
        <v>0.25754068513825445</v>
      </c>
      <c r="R76" s="372">
        <f t="shared" si="36"/>
        <v>0.29823888603549614</v>
      </c>
    </row>
    <row r="77" spans="2:18">
      <c r="B77" s="53"/>
      <c r="C77" s="104"/>
      <c r="D77" s="104"/>
      <c r="E77" s="104"/>
      <c r="F77" s="104"/>
      <c r="G77" s="135"/>
      <c r="H77" s="135"/>
      <c r="I77" s="135"/>
      <c r="J77" s="180"/>
      <c r="K77" s="180"/>
      <c r="L77" s="180"/>
      <c r="M77" s="249"/>
      <c r="N77" s="249"/>
      <c r="O77" s="249"/>
      <c r="P77" s="313"/>
      <c r="Q77" s="313"/>
      <c r="R77" s="313"/>
    </row>
    <row r="93" spans="2:18" s="75" customFormat="1">
      <c r="B93" s="86"/>
      <c r="C93" s="97"/>
      <c r="D93" s="97"/>
      <c r="E93" s="97"/>
      <c r="F93" s="97"/>
      <c r="G93" s="145"/>
      <c r="H93" s="145"/>
      <c r="I93" s="145"/>
      <c r="J93" s="189"/>
      <c r="K93" s="189"/>
      <c r="L93" s="189"/>
      <c r="M93" s="258"/>
      <c r="N93" s="258"/>
      <c r="O93" s="258"/>
      <c r="P93" s="97"/>
      <c r="Q93" s="97"/>
      <c r="R93" s="97"/>
    </row>
    <row r="94" spans="2:18" s="75" customFormat="1" ht="19">
      <c r="B94" s="353" t="s">
        <v>152</v>
      </c>
      <c r="C94" s="98" t="str">
        <f>C$5</f>
        <v>September</v>
      </c>
      <c r="D94" s="98" t="str">
        <f t="shared" ref="D94:R94" si="37">D$5</f>
        <v>October</v>
      </c>
      <c r="E94" s="98" t="str">
        <f t="shared" si="37"/>
        <v>November</v>
      </c>
      <c r="F94" s="98" t="str">
        <f t="shared" si="37"/>
        <v>December</v>
      </c>
      <c r="G94" s="146" t="str">
        <f t="shared" si="37"/>
        <v>January</v>
      </c>
      <c r="H94" s="146" t="str">
        <f t="shared" si="37"/>
        <v>February</v>
      </c>
      <c r="I94" s="146" t="str">
        <f t="shared" si="37"/>
        <v>March</v>
      </c>
      <c r="J94" s="190" t="str">
        <f t="shared" si="37"/>
        <v>April</v>
      </c>
      <c r="K94" s="190" t="str">
        <f t="shared" si="37"/>
        <v>May</v>
      </c>
      <c r="L94" s="190" t="str">
        <f t="shared" si="37"/>
        <v>June</v>
      </c>
      <c r="M94" s="259" t="str">
        <f t="shared" si="37"/>
        <v>July</v>
      </c>
      <c r="N94" s="259" t="str">
        <f t="shared" si="37"/>
        <v>August</v>
      </c>
      <c r="O94" s="259" t="str">
        <f t="shared" si="37"/>
        <v>September</v>
      </c>
      <c r="P94" s="98" t="str">
        <f t="shared" si="37"/>
        <v>October</v>
      </c>
      <c r="Q94" s="98" t="str">
        <f t="shared" si="37"/>
        <v>November</v>
      </c>
      <c r="R94" s="98" t="str">
        <f t="shared" si="37"/>
        <v>December</v>
      </c>
    </row>
    <row r="95" spans="2:18" s="75" customFormat="1">
      <c r="B95" s="354"/>
      <c r="C95" s="99"/>
      <c r="D95" s="99"/>
      <c r="E95" s="99"/>
      <c r="F95" s="99"/>
      <c r="G95" s="140"/>
      <c r="H95" s="140"/>
      <c r="I95" s="140"/>
      <c r="J95" s="185"/>
      <c r="K95" s="185"/>
      <c r="L95" s="185"/>
      <c r="M95" s="254"/>
      <c r="N95" s="254"/>
      <c r="O95" s="254"/>
      <c r="P95" s="99"/>
      <c r="Q95" s="99"/>
      <c r="R95" s="99"/>
    </row>
    <row r="96" spans="2:18" s="75" customFormat="1">
      <c r="B96" s="355"/>
      <c r="C96" s="97"/>
      <c r="D96" s="97"/>
      <c r="E96" s="97"/>
      <c r="F96" s="97"/>
      <c r="G96" s="145"/>
      <c r="H96" s="145"/>
      <c r="I96" s="145"/>
      <c r="J96" s="189"/>
      <c r="K96" s="189"/>
      <c r="L96" s="189"/>
      <c r="M96" s="258"/>
      <c r="N96" s="258"/>
      <c r="O96" s="258"/>
      <c r="P96" s="97"/>
      <c r="Q96" s="97"/>
      <c r="R96" s="97"/>
    </row>
    <row r="97" spans="2:18" s="75" customFormat="1">
      <c r="B97" s="355" t="s">
        <v>127</v>
      </c>
      <c r="C97" s="100">
        <v>0</v>
      </c>
      <c r="D97" s="100">
        <v>0</v>
      </c>
      <c r="E97" s="100">
        <f>'November-1'!C52</f>
        <v>10000</v>
      </c>
      <c r="F97" s="100">
        <f>'December-1'!C65</f>
        <v>12000</v>
      </c>
      <c r="G97" s="139">
        <f>'January-2'!C73</f>
        <v>4000</v>
      </c>
      <c r="H97" s="139">
        <f>'February-2'!C65</f>
        <v>9000</v>
      </c>
      <c r="I97" s="139">
        <f>'March-2'!C65</f>
        <v>8000</v>
      </c>
      <c r="J97" s="184">
        <f>'April-2'!C100</f>
        <v>14300</v>
      </c>
      <c r="K97" s="184">
        <f>'May-2'!C96</f>
        <v>16854.523809523809</v>
      </c>
      <c r="L97" s="184">
        <f>'June-2'!L36</f>
        <v>21562.417582417584</v>
      </c>
      <c r="M97" s="253">
        <f>'July-2'!C106</f>
        <v>27231.9391634981</v>
      </c>
      <c r="N97" s="253">
        <f>'August-2'!C108</f>
        <v>32060.37267080745</v>
      </c>
      <c r="O97" s="253">
        <f>'September-2'!C109</f>
        <v>42834</v>
      </c>
      <c r="P97" s="100">
        <f>'October-2'!C107</f>
        <v>62180.418636056718</v>
      </c>
      <c r="Q97" s="100">
        <f>'November-2'!C106</f>
        <v>81284.848484848495</v>
      </c>
      <c r="R97" s="100">
        <f>'December-2'!C107</f>
        <v>111050.84745762711</v>
      </c>
    </row>
    <row r="98" spans="2:18" s="75" customFormat="1">
      <c r="B98" s="355"/>
      <c r="C98" s="100"/>
      <c r="D98" s="100"/>
      <c r="E98" s="100"/>
      <c r="F98" s="100"/>
      <c r="G98" s="139"/>
      <c r="H98" s="139"/>
      <c r="I98" s="139"/>
      <c r="J98" s="184"/>
      <c r="K98" s="184"/>
      <c r="L98" s="184"/>
      <c r="M98" s="253"/>
      <c r="N98" s="253"/>
      <c r="O98" s="253"/>
      <c r="P98" s="100"/>
      <c r="Q98" s="100"/>
      <c r="R98" s="100"/>
    </row>
    <row r="99" spans="2:18" s="75" customFormat="1">
      <c r="B99" s="355" t="s">
        <v>153</v>
      </c>
      <c r="C99" s="100">
        <v>0</v>
      </c>
      <c r="D99" s="100">
        <f>'October-1'!C43</f>
        <v>5000</v>
      </c>
      <c r="E99" s="100">
        <f>'November-1'!C54</f>
        <v>15000</v>
      </c>
      <c r="F99" s="100">
        <f>'December-1'!C67</f>
        <v>15000</v>
      </c>
      <c r="G99" s="139">
        <f>'January-2'!C75</f>
        <v>12500</v>
      </c>
      <c r="H99" s="139">
        <f>'February-2'!C67</f>
        <v>15000</v>
      </c>
      <c r="I99" s="139">
        <f>'March-2'!C67</f>
        <v>17500</v>
      </c>
      <c r="J99" s="184">
        <f>'April-2'!C101</f>
        <v>22500</v>
      </c>
      <c r="K99" s="184">
        <f>'May-2'!C97</f>
        <v>27500</v>
      </c>
      <c r="L99" s="184">
        <f>'June-2'!L48</f>
        <v>37500</v>
      </c>
      <c r="M99" s="253">
        <f>'July-2'!C107</f>
        <v>42500</v>
      </c>
      <c r="N99" s="253">
        <f>'August-2'!C109</f>
        <v>30000</v>
      </c>
      <c r="O99" s="253">
        <f>'September-2'!C110</f>
        <v>57500</v>
      </c>
      <c r="P99" s="100">
        <f>'October-2'!C108</f>
        <v>75000</v>
      </c>
      <c r="Q99" s="100">
        <f>'November-2'!C107</f>
        <v>112500</v>
      </c>
      <c r="R99" s="100">
        <f>'December-2'!C108</f>
        <v>150000</v>
      </c>
    </row>
    <row r="100" spans="2:18" s="75" customFormat="1">
      <c r="B100" s="355"/>
      <c r="C100" s="100"/>
      <c r="D100" s="100"/>
      <c r="E100" s="100"/>
      <c r="F100" s="100"/>
      <c r="G100" s="139"/>
      <c r="H100" s="139"/>
      <c r="I100" s="139"/>
      <c r="J100" s="184"/>
      <c r="K100" s="184"/>
      <c r="L100" s="184"/>
      <c r="M100" s="253"/>
      <c r="N100" s="253"/>
      <c r="O100" s="253"/>
      <c r="P100" s="100"/>
      <c r="Q100" s="100"/>
      <c r="R100" s="100"/>
    </row>
    <row r="101" spans="2:18" s="75" customFormat="1">
      <c r="B101" s="355" t="s">
        <v>154</v>
      </c>
      <c r="C101" s="100">
        <v>0</v>
      </c>
      <c r="D101" s="100">
        <f>-'October-1'!E45</f>
        <v>-4000</v>
      </c>
      <c r="E101" s="100">
        <f>-'November-1'!E56</f>
        <v>-15000</v>
      </c>
      <c r="F101" s="100">
        <f>-'December-1'!E70</f>
        <v>-14000</v>
      </c>
      <c r="G101" s="139">
        <f>-'January-2'!E78</f>
        <v>-8000</v>
      </c>
      <c r="H101" s="139">
        <f>-'February-2'!E70</f>
        <v>-15000</v>
      </c>
      <c r="I101" s="139">
        <f>-'March-2'!E70</f>
        <v>-13500</v>
      </c>
      <c r="J101" s="184">
        <f>-'April-2'!E101</f>
        <v>-19400</v>
      </c>
      <c r="K101" s="184">
        <f>-'May-2'!E97</f>
        <v>-20160</v>
      </c>
      <c r="L101" s="184">
        <f>-'June-2'!L54</f>
        <v>-25480</v>
      </c>
      <c r="M101" s="253">
        <f>-'July-2'!E107</f>
        <v>-31560</v>
      </c>
      <c r="N101" s="253">
        <f>-'August-2'!F109</f>
        <v>-25760</v>
      </c>
      <c r="O101" s="253">
        <f>-'September-2'!E110</f>
        <v>-40000</v>
      </c>
      <c r="P101" s="100">
        <f>-'October-2'!G108</f>
        <v>-59240</v>
      </c>
      <c r="Q101" s="100">
        <f>-'November-2'!G107</f>
        <v>-85800</v>
      </c>
      <c r="R101" s="100">
        <f>-'December-2'!G108</f>
        <v>-118000</v>
      </c>
    </row>
    <row r="102" spans="2:18" s="75" customFormat="1">
      <c r="B102" s="355"/>
      <c r="C102" s="99"/>
      <c r="D102" s="99"/>
      <c r="E102" s="99"/>
      <c r="F102" s="99"/>
      <c r="G102" s="140"/>
      <c r="H102" s="140"/>
      <c r="I102" s="140"/>
      <c r="J102" s="185"/>
      <c r="K102" s="185"/>
      <c r="L102" s="185"/>
      <c r="M102" s="254"/>
      <c r="N102" s="254"/>
      <c r="O102" s="254"/>
      <c r="P102" s="99"/>
      <c r="Q102" s="99"/>
      <c r="R102" s="99"/>
    </row>
    <row r="103" spans="2:18" s="75" customFormat="1">
      <c r="B103" s="355"/>
      <c r="C103" s="100"/>
      <c r="D103" s="100"/>
      <c r="E103" s="100"/>
      <c r="F103" s="100"/>
      <c r="G103" s="139"/>
      <c r="H103" s="139"/>
      <c r="I103" s="139"/>
      <c r="J103" s="184"/>
      <c r="K103" s="184"/>
      <c r="L103" s="184"/>
      <c r="M103" s="253"/>
      <c r="N103" s="253"/>
      <c r="O103" s="253"/>
      <c r="P103" s="100"/>
      <c r="Q103" s="100"/>
      <c r="R103" s="100"/>
    </row>
    <row r="104" spans="2:18" s="75" customFormat="1">
      <c r="B104" s="356" t="s">
        <v>155</v>
      </c>
      <c r="C104" s="101">
        <f>C97+C99+C101</f>
        <v>0</v>
      </c>
      <c r="D104" s="101">
        <f t="shared" ref="D104:Q104" si="38">D97+D99+D101</f>
        <v>1000</v>
      </c>
      <c r="E104" s="101">
        <f t="shared" si="38"/>
        <v>10000</v>
      </c>
      <c r="F104" s="101">
        <f t="shared" si="38"/>
        <v>13000</v>
      </c>
      <c r="G104" s="147">
        <f t="shared" si="38"/>
        <v>8500</v>
      </c>
      <c r="H104" s="147">
        <f t="shared" si="38"/>
        <v>9000</v>
      </c>
      <c r="I104" s="147">
        <f t="shared" si="38"/>
        <v>12000</v>
      </c>
      <c r="J104" s="191">
        <f t="shared" si="38"/>
        <v>17400</v>
      </c>
      <c r="K104" s="191">
        <f t="shared" si="38"/>
        <v>24194.523809523809</v>
      </c>
      <c r="L104" s="191">
        <f t="shared" si="38"/>
        <v>33582.417582417584</v>
      </c>
      <c r="M104" s="260">
        <f t="shared" si="38"/>
        <v>38171.9391634981</v>
      </c>
      <c r="N104" s="260">
        <f t="shared" si="38"/>
        <v>36300.372670807454</v>
      </c>
      <c r="O104" s="260">
        <f t="shared" si="38"/>
        <v>60334</v>
      </c>
      <c r="P104" s="101">
        <f t="shared" si="38"/>
        <v>77940.418636056711</v>
      </c>
      <c r="Q104" s="101">
        <f t="shared" si="38"/>
        <v>107984.84848484851</v>
      </c>
      <c r="R104" s="101">
        <f t="shared" ref="R104" si="39">R97+R99+R101</f>
        <v>143050.84745762713</v>
      </c>
    </row>
    <row r="105" spans="2:18" s="75" customFormat="1">
      <c r="B105" s="72"/>
      <c r="C105" s="99"/>
      <c r="D105" s="99"/>
      <c r="E105" s="99"/>
      <c r="F105" s="99"/>
      <c r="G105" s="140"/>
      <c r="H105" s="140"/>
      <c r="I105" s="140"/>
      <c r="J105" s="185"/>
      <c r="K105" s="185"/>
      <c r="L105" s="185"/>
      <c r="M105" s="254"/>
      <c r="N105" s="254"/>
      <c r="O105" s="254"/>
      <c r="P105" s="99"/>
      <c r="Q105" s="99"/>
      <c r="R105" s="99"/>
    </row>
    <row r="106" spans="2:18">
      <c r="B106" s="50"/>
      <c r="C106" s="102"/>
      <c r="D106" s="102"/>
      <c r="E106" s="102"/>
      <c r="F106" s="102"/>
      <c r="G106" s="133"/>
      <c r="H106" s="133"/>
      <c r="I106" s="133"/>
      <c r="J106" s="178"/>
      <c r="K106" s="178"/>
      <c r="L106" s="178"/>
      <c r="M106" s="247"/>
      <c r="N106" s="247"/>
      <c r="O106" s="247"/>
      <c r="P106" s="271"/>
      <c r="Q106" s="271"/>
      <c r="R106" s="271"/>
    </row>
    <row r="107" spans="2:18">
      <c r="B107" s="71" t="s">
        <v>144</v>
      </c>
      <c r="C107" s="100">
        <f>C22</f>
        <v>1000</v>
      </c>
      <c r="D107" s="100">
        <f t="shared" ref="D107:L107" si="40">D22</f>
        <v>2000</v>
      </c>
      <c r="E107" s="100">
        <f t="shared" si="40"/>
        <v>3700</v>
      </c>
      <c r="F107" s="100">
        <f t="shared" si="40"/>
        <v>6700</v>
      </c>
      <c r="G107" s="139">
        <f t="shared" si="40"/>
        <v>200</v>
      </c>
      <c r="H107" s="139">
        <f t="shared" si="40"/>
        <v>4700</v>
      </c>
      <c r="I107" s="139">
        <f t="shared" si="40"/>
        <v>1900</v>
      </c>
      <c r="J107" s="184">
        <f t="shared" si="40"/>
        <v>6100</v>
      </c>
      <c r="K107" s="184">
        <f t="shared" si="40"/>
        <v>5834.5238095238092</v>
      </c>
      <c r="L107" s="184">
        <f t="shared" si="40"/>
        <v>16347.893772893767</v>
      </c>
      <c r="M107" s="253">
        <f>'July-2'!C34</f>
        <v>25149.521581080524</v>
      </c>
      <c r="N107" s="253">
        <f>'August-2'!C34</f>
        <v>20408.433507309353</v>
      </c>
      <c r="O107" s="253">
        <f>'September-2'!C35</f>
        <v>24273.627329192546</v>
      </c>
      <c r="P107" s="100">
        <f>'October-2'!C35</f>
        <v>31966.418636056711</v>
      </c>
      <c r="Q107" s="100">
        <f>'November-2'!C35</f>
        <v>61104.429848791799</v>
      </c>
      <c r="R107" s="100">
        <f>'December-2'!C35</f>
        <v>100865.99897277862</v>
      </c>
    </row>
    <row r="108" spans="2:18">
      <c r="B108" s="130"/>
      <c r="C108" s="132"/>
      <c r="D108" s="132"/>
      <c r="E108" s="132"/>
      <c r="F108" s="132"/>
      <c r="G108" s="137"/>
      <c r="H108" s="137"/>
      <c r="I108" s="137"/>
      <c r="J108" s="182"/>
      <c r="K108" s="182"/>
      <c r="L108" s="182"/>
      <c r="M108" s="251"/>
      <c r="N108" s="251"/>
      <c r="O108" s="251"/>
      <c r="P108" s="311"/>
      <c r="Q108" s="311"/>
      <c r="R108" s="311"/>
    </row>
    <row r="109" spans="2:18" s="1" customFormat="1">
      <c r="B109" s="71" t="s">
        <v>303</v>
      </c>
      <c r="C109" s="100"/>
      <c r="D109" s="100"/>
      <c r="E109" s="100"/>
      <c r="F109" s="100"/>
      <c r="G109" s="139"/>
      <c r="H109" s="139"/>
      <c r="I109" s="139"/>
      <c r="J109" s="181">
        <f>'April-2'!D116</f>
        <v>1000</v>
      </c>
      <c r="K109" s="181">
        <f>'May-2'!D112</f>
        <v>1000</v>
      </c>
      <c r="L109" s="181">
        <f>'June-2'!D112</f>
        <v>1000</v>
      </c>
      <c r="M109" s="250">
        <f>'July-2'!K14</f>
        <v>1000</v>
      </c>
      <c r="N109" s="250">
        <f>'August-2'!K14</f>
        <v>1000</v>
      </c>
      <c r="O109" s="250">
        <f>'September-2'!L14</f>
        <v>1000</v>
      </c>
      <c r="P109" s="238">
        <f>'October-2'!K12+'October-2'!K13</f>
        <v>6500</v>
      </c>
      <c r="Q109" s="238">
        <f>'November-2'!K12+'November-2'!K13</f>
        <v>6500</v>
      </c>
      <c r="R109" s="238">
        <f>'December-2'!K12+'December-2'!K13</f>
        <v>6500</v>
      </c>
    </row>
    <row r="110" spans="2:18" s="1" customFormat="1">
      <c r="B110" s="71"/>
      <c r="C110" s="100"/>
      <c r="D110" s="100"/>
      <c r="E110" s="100"/>
      <c r="F110" s="100"/>
      <c r="G110" s="136"/>
      <c r="H110" s="136"/>
      <c r="I110" s="136"/>
      <c r="J110" s="181"/>
      <c r="K110" s="181"/>
      <c r="L110" s="181"/>
      <c r="M110" s="250"/>
      <c r="N110" s="250"/>
      <c r="O110" s="250"/>
      <c r="P110" s="238"/>
      <c r="Q110" s="238"/>
      <c r="R110" s="238"/>
    </row>
    <row r="111" spans="2:18" s="1" customFormat="1" ht="19">
      <c r="B111" s="131" t="s">
        <v>29</v>
      </c>
      <c r="C111" s="100">
        <f>C107+C109</f>
        <v>1000</v>
      </c>
      <c r="D111" s="100">
        <f t="shared" ref="D111:Q111" si="41">D107+D109</f>
        <v>2000</v>
      </c>
      <c r="E111" s="100">
        <f t="shared" si="41"/>
        <v>3700</v>
      </c>
      <c r="F111" s="100">
        <f t="shared" si="41"/>
        <v>6700</v>
      </c>
      <c r="G111" s="139">
        <f t="shared" si="41"/>
        <v>200</v>
      </c>
      <c r="H111" s="139">
        <f t="shared" si="41"/>
        <v>4700</v>
      </c>
      <c r="I111" s="139">
        <f t="shared" si="41"/>
        <v>1900</v>
      </c>
      <c r="J111" s="184">
        <f t="shared" si="41"/>
        <v>7100</v>
      </c>
      <c r="K111" s="184">
        <f t="shared" si="41"/>
        <v>6834.5238095238092</v>
      </c>
      <c r="L111" s="184">
        <f t="shared" si="41"/>
        <v>17347.893772893767</v>
      </c>
      <c r="M111" s="253">
        <f t="shared" si="41"/>
        <v>26149.521581080524</v>
      </c>
      <c r="N111" s="253">
        <f t="shared" si="41"/>
        <v>21408.433507309353</v>
      </c>
      <c r="O111" s="253">
        <f t="shared" si="41"/>
        <v>25273.627329192546</v>
      </c>
      <c r="P111" s="100">
        <f t="shared" si="41"/>
        <v>38466.418636056711</v>
      </c>
      <c r="Q111" s="100">
        <f t="shared" si="41"/>
        <v>67604.429848791799</v>
      </c>
      <c r="R111" s="100">
        <f t="shared" ref="R111" si="42">R107+R109</f>
        <v>107365.99897277862</v>
      </c>
    </row>
    <row r="112" spans="2:18" s="1" customFormat="1">
      <c r="B112" s="71"/>
      <c r="C112" s="100"/>
      <c r="D112" s="100"/>
      <c r="E112" s="100"/>
      <c r="F112" s="100"/>
      <c r="G112" s="136"/>
      <c r="H112" s="136"/>
      <c r="I112" s="136"/>
      <c r="J112" s="181"/>
      <c r="K112" s="181"/>
      <c r="L112" s="181"/>
      <c r="M112" s="250"/>
      <c r="N112" s="250"/>
      <c r="O112" s="250"/>
      <c r="P112" s="238"/>
      <c r="Q112" s="238"/>
      <c r="R112" s="238"/>
    </row>
    <row r="113" spans="2:18" s="1" customFormat="1">
      <c r="B113" s="71" t="s">
        <v>274</v>
      </c>
      <c r="C113" s="100">
        <v>0</v>
      </c>
      <c r="D113" s="100">
        <f>-(D104-C104)</f>
        <v>-1000</v>
      </c>
      <c r="E113" s="100">
        <f t="shared" ref="E113:R113" si="43">-(E104-D104)</f>
        <v>-9000</v>
      </c>
      <c r="F113" s="100">
        <f t="shared" si="43"/>
        <v>-3000</v>
      </c>
      <c r="G113" s="139">
        <f t="shared" si="43"/>
        <v>4500</v>
      </c>
      <c r="H113" s="139">
        <f t="shared" si="43"/>
        <v>-500</v>
      </c>
      <c r="I113" s="139">
        <f t="shared" si="43"/>
        <v>-3000</v>
      </c>
      <c r="J113" s="184">
        <f t="shared" si="43"/>
        <v>-5400</v>
      </c>
      <c r="K113" s="184">
        <f t="shared" si="43"/>
        <v>-6794.5238095238092</v>
      </c>
      <c r="L113" s="184">
        <f t="shared" si="43"/>
        <v>-9387.8937728937744</v>
      </c>
      <c r="M113" s="253">
        <f t="shared" si="43"/>
        <v>-4589.5215810805166</v>
      </c>
      <c r="N113" s="253">
        <f t="shared" si="43"/>
        <v>1871.5664926906466</v>
      </c>
      <c r="O113" s="253">
        <f t="shared" si="43"/>
        <v>-24033.627329192546</v>
      </c>
      <c r="P113" s="100">
        <f t="shared" si="43"/>
        <v>-17606.418636056711</v>
      </c>
      <c r="Q113" s="100">
        <f t="shared" si="43"/>
        <v>-30044.429848791799</v>
      </c>
      <c r="R113" s="100">
        <f t="shared" si="43"/>
        <v>-35065.998972778616</v>
      </c>
    </row>
    <row r="114" spans="2:18" s="1" customFormat="1">
      <c r="B114" s="71"/>
      <c r="C114" s="100"/>
      <c r="D114" s="100"/>
      <c r="E114" s="100"/>
      <c r="F114" s="100"/>
      <c r="G114" s="136"/>
      <c r="H114" s="136"/>
      <c r="I114" s="136"/>
      <c r="J114" s="181"/>
      <c r="K114" s="181"/>
      <c r="L114" s="181"/>
      <c r="M114" s="250"/>
      <c r="N114" s="250"/>
      <c r="O114" s="250"/>
      <c r="P114" s="238"/>
      <c r="Q114" s="238"/>
      <c r="R114" s="238"/>
    </row>
    <row r="115" spans="2:18" s="1" customFormat="1" ht="19">
      <c r="B115" s="131" t="s">
        <v>304</v>
      </c>
      <c r="C115" s="100">
        <f>C111+C113</f>
        <v>1000</v>
      </c>
      <c r="D115" s="100">
        <f t="shared" ref="D115:Q115" si="44">D111+D113</f>
        <v>1000</v>
      </c>
      <c r="E115" s="100">
        <f t="shared" si="44"/>
        <v>-5300</v>
      </c>
      <c r="F115" s="100">
        <f t="shared" si="44"/>
        <v>3700</v>
      </c>
      <c r="G115" s="139">
        <f t="shared" si="44"/>
        <v>4700</v>
      </c>
      <c r="H115" s="139">
        <f t="shared" si="44"/>
        <v>4200</v>
      </c>
      <c r="I115" s="139">
        <f t="shared" si="44"/>
        <v>-1100</v>
      </c>
      <c r="J115" s="184">
        <f t="shared" si="44"/>
        <v>1700</v>
      </c>
      <c r="K115" s="184">
        <f t="shared" si="44"/>
        <v>40</v>
      </c>
      <c r="L115" s="184">
        <f t="shared" si="44"/>
        <v>7959.9999999999927</v>
      </c>
      <c r="M115" s="253">
        <f t="shared" si="44"/>
        <v>21560.000000000007</v>
      </c>
      <c r="N115" s="253">
        <f t="shared" si="44"/>
        <v>23280</v>
      </c>
      <c r="O115" s="253">
        <f t="shared" si="44"/>
        <v>1240</v>
      </c>
      <c r="P115" s="100">
        <f t="shared" si="44"/>
        <v>20860</v>
      </c>
      <c r="Q115" s="100">
        <f t="shared" si="44"/>
        <v>37560</v>
      </c>
      <c r="R115" s="100">
        <f t="shared" ref="R115" si="45">R111+R113</f>
        <v>72300</v>
      </c>
    </row>
    <row r="116" spans="2:18" s="1" customFormat="1">
      <c r="B116" s="72"/>
      <c r="C116" s="99"/>
      <c r="D116" s="99"/>
      <c r="E116" s="99"/>
      <c r="F116" s="99"/>
      <c r="G116" s="138"/>
      <c r="H116" s="138"/>
      <c r="I116" s="138"/>
      <c r="J116" s="183"/>
      <c r="K116" s="183"/>
      <c r="L116" s="183"/>
      <c r="M116" s="252"/>
      <c r="N116" s="252"/>
      <c r="O116" s="252"/>
      <c r="P116" s="240"/>
      <c r="Q116" s="240"/>
      <c r="R116" s="240"/>
    </row>
    <row r="117" spans="2:18">
      <c r="B117" s="86"/>
      <c r="C117" s="97"/>
      <c r="D117" s="97"/>
      <c r="E117" s="97"/>
      <c r="F117" s="97"/>
      <c r="G117" s="241"/>
      <c r="H117" s="241"/>
      <c r="I117" s="241"/>
      <c r="J117" s="243"/>
      <c r="K117" s="243"/>
      <c r="L117" s="243"/>
      <c r="M117" s="261"/>
      <c r="N117" s="261"/>
      <c r="O117" s="261"/>
      <c r="P117" s="312"/>
      <c r="Q117" s="312"/>
      <c r="R117" s="312"/>
    </row>
    <row r="118" spans="2:18">
      <c r="B118" s="83" t="s">
        <v>305</v>
      </c>
      <c r="C118" s="100"/>
      <c r="D118" s="100"/>
      <c r="E118" s="100"/>
      <c r="F118" s="100"/>
      <c r="G118" s="136"/>
      <c r="H118" s="136"/>
      <c r="I118" s="136"/>
      <c r="J118" s="181"/>
      <c r="K118" s="181"/>
      <c r="L118" s="181"/>
      <c r="M118" s="250"/>
      <c r="N118" s="250"/>
      <c r="O118" s="250"/>
      <c r="P118" s="238"/>
      <c r="Q118" s="238"/>
      <c r="R118" s="238"/>
    </row>
    <row r="119" spans="2:18">
      <c r="B119" s="71"/>
      <c r="C119" s="100"/>
      <c r="D119" s="100"/>
      <c r="E119" s="100"/>
      <c r="F119" s="100"/>
      <c r="G119" s="136"/>
      <c r="H119" s="136"/>
      <c r="I119" s="136"/>
      <c r="J119" s="181"/>
      <c r="K119" s="181"/>
      <c r="L119" s="181"/>
      <c r="M119" s="250"/>
      <c r="N119" s="250"/>
      <c r="O119" s="250"/>
      <c r="P119" s="238"/>
      <c r="Q119" s="238"/>
      <c r="R119" s="238"/>
    </row>
    <row r="120" spans="2:18">
      <c r="B120" s="71" t="s">
        <v>306</v>
      </c>
      <c r="C120" s="238"/>
      <c r="D120" s="238"/>
      <c r="E120" s="238"/>
      <c r="F120" s="238"/>
      <c r="G120" s="136"/>
      <c r="H120" s="136"/>
      <c r="I120" s="136"/>
      <c r="J120" s="181"/>
      <c r="K120" s="181"/>
      <c r="L120" s="181"/>
      <c r="M120" s="250"/>
      <c r="N120" s="250">
        <f>'August-2'!C110</f>
        <v>18000</v>
      </c>
      <c r="O120" s="250">
        <f>'September-2'!C111</f>
        <v>15000</v>
      </c>
      <c r="P120" s="238">
        <f>'October-2'!C109</f>
        <v>12000</v>
      </c>
      <c r="Q120" s="238">
        <f>'November-2'!C108</f>
        <v>9000</v>
      </c>
      <c r="R120" s="238">
        <f>'December-2'!C109</f>
        <v>6000</v>
      </c>
    </row>
    <row r="121" spans="2:18">
      <c r="B121" s="71"/>
      <c r="C121" s="100"/>
      <c r="D121" s="100"/>
      <c r="E121" s="100"/>
      <c r="F121" s="100"/>
      <c r="G121" s="136"/>
      <c r="H121" s="136"/>
      <c r="I121" s="136"/>
      <c r="J121" s="181"/>
      <c r="K121" s="181"/>
      <c r="L121" s="181"/>
      <c r="M121" s="250"/>
      <c r="N121" s="250"/>
      <c r="O121" s="250"/>
      <c r="P121" s="238"/>
      <c r="Q121" s="238"/>
      <c r="R121" s="238"/>
    </row>
    <row r="122" spans="2:18">
      <c r="B122" s="83" t="s">
        <v>309</v>
      </c>
      <c r="C122" s="100"/>
      <c r="D122" s="100"/>
      <c r="E122" s="100"/>
      <c r="F122" s="100"/>
      <c r="G122" s="136"/>
      <c r="H122" s="136"/>
      <c r="I122" s="136"/>
      <c r="J122" s="181"/>
      <c r="K122" s="181"/>
      <c r="L122" s="181"/>
      <c r="M122" s="250"/>
      <c r="N122" s="250"/>
      <c r="O122" s="250"/>
      <c r="P122" s="238"/>
      <c r="Q122" s="238"/>
      <c r="R122" s="238"/>
    </row>
    <row r="123" spans="2:18">
      <c r="B123" s="71"/>
      <c r="C123" s="100"/>
      <c r="D123" s="100"/>
      <c r="E123" s="100"/>
      <c r="F123" s="100"/>
      <c r="G123" s="136"/>
      <c r="H123" s="136"/>
      <c r="I123" s="136"/>
      <c r="J123" s="181"/>
      <c r="K123" s="181"/>
      <c r="L123" s="181"/>
      <c r="M123" s="250"/>
      <c r="N123" s="250"/>
      <c r="O123" s="250"/>
      <c r="P123" s="238"/>
      <c r="Q123" s="238"/>
      <c r="R123" s="238"/>
    </row>
    <row r="124" spans="2:18">
      <c r="B124" s="71" t="s">
        <v>135</v>
      </c>
      <c r="C124" s="238"/>
      <c r="D124" s="238"/>
      <c r="E124" s="100"/>
      <c r="F124" s="100">
        <f>-'December-1'!E69</f>
        <v>-2000</v>
      </c>
      <c r="G124" s="136"/>
      <c r="H124" s="136"/>
      <c r="I124" s="136"/>
      <c r="J124" s="181"/>
      <c r="K124" s="181"/>
      <c r="L124" s="181"/>
      <c r="M124" s="250"/>
      <c r="N124" s="250"/>
      <c r="O124" s="250"/>
      <c r="P124" s="238"/>
      <c r="Q124" s="238">
        <f>-'November-2'!G106</f>
        <v>-20000</v>
      </c>
      <c r="R124" s="238">
        <f>-'December-2'!G107</f>
        <v>-40000</v>
      </c>
    </row>
    <row r="125" spans="2:18">
      <c r="B125" s="71" t="s">
        <v>145</v>
      </c>
      <c r="C125" s="100">
        <f>-'September-1'!E39*TIS</f>
        <v>-200</v>
      </c>
      <c r="D125" s="100">
        <f>-'October-1'!E41*TIS</f>
        <v>-600</v>
      </c>
      <c r="E125" s="100">
        <f>-'November-1'!E52*TIS</f>
        <v>-1340</v>
      </c>
      <c r="F125" s="100">
        <f>-'December-1'!E71</f>
        <v>-2680</v>
      </c>
      <c r="G125" s="136">
        <f>-'January-2'!E79</f>
        <v>-40</v>
      </c>
      <c r="H125" s="136">
        <f>-'February-2'!E71</f>
        <v>-980</v>
      </c>
      <c r="I125" s="136">
        <f>-'March-2'!E71</f>
        <v>-1360</v>
      </c>
      <c r="J125" s="181">
        <f>-'April-2'!E102</f>
        <v>-2532</v>
      </c>
      <c r="K125" s="181">
        <f>-'May-2'!E98</f>
        <v>-3650.9047619047619</v>
      </c>
      <c r="L125" s="181">
        <f>-'June-2'!E98</f>
        <v>-6872.4835164835149</v>
      </c>
      <c r="M125" s="250">
        <f>-'July-2'!E108</f>
        <v>-11854.38783269962</v>
      </c>
      <c r="N125" s="250">
        <f>-'August-2'!F110</f>
        <v>-15888.074534161491</v>
      </c>
      <c r="O125" s="250">
        <f>-'September-2'!E111</f>
        <v>-20694.8</v>
      </c>
      <c r="P125" s="238">
        <f>-'October-2'!G109</f>
        <v>-26840.083727211342</v>
      </c>
      <c r="Q125" s="238">
        <f>-'November-2'!G108</f>
        <v>-38812.969696969703</v>
      </c>
      <c r="R125" s="238">
        <f>-'December-2'!G109</f>
        <v>-58738.169491525427</v>
      </c>
    </row>
    <row r="126" spans="2:18">
      <c r="B126" s="71"/>
      <c r="C126" s="99"/>
      <c r="D126" s="99"/>
      <c r="E126" s="99"/>
      <c r="F126" s="99"/>
      <c r="G126" s="138"/>
      <c r="H126" s="138"/>
      <c r="I126" s="138"/>
      <c r="J126" s="183"/>
      <c r="K126" s="183"/>
      <c r="L126" s="183"/>
      <c r="M126" s="252"/>
      <c r="N126" s="252"/>
      <c r="O126" s="252"/>
      <c r="P126" s="240"/>
      <c r="Q126" s="240"/>
      <c r="R126" s="240"/>
    </row>
    <row r="127" spans="2:18">
      <c r="B127" s="71"/>
      <c r="C127" s="100"/>
      <c r="D127" s="100"/>
      <c r="E127" s="100"/>
      <c r="F127" s="100"/>
      <c r="G127" s="136"/>
      <c r="H127" s="136"/>
      <c r="I127" s="136"/>
      <c r="J127" s="181"/>
      <c r="K127" s="181"/>
      <c r="L127" s="181"/>
      <c r="M127" s="250"/>
      <c r="N127" s="250"/>
      <c r="O127" s="250"/>
      <c r="P127" s="238"/>
      <c r="Q127" s="238"/>
      <c r="R127" s="238"/>
    </row>
    <row r="128" spans="2:18" s="234" customFormat="1">
      <c r="B128" s="74" t="s">
        <v>307</v>
      </c>
      <c r="C128" s="239">
        <f t="shared" ref="C128:M128" si="46">C120+C124+C125</f>
        <v>-200</v>
      </c>
      <c r="D128" s="239">
        <f t="shared" si="46"/>
        <v>-600</v>
      </c>
      <c r="E128" s="239">
        <f t="shared" si="46"/>
        <v>-1340</v>
      </c>
      <c r="F128" s="239">
        <f t="shared" si="46"/>
        <v>-4680</v>
      </c>
      <c r="G128" s="242">
        <f t="shared" si="46"/>
        <v>-40</v>
      </c>
      <c r="H128" s="242">
        <f t="shared" si="46"/>
        <v>-980</v>
      </c>
      <c r="I128" s="242">
        <f t="shared" si="46"/>
        <v>-1360</v>
      </c>
      <c r="J128" s="244">
        <f t="shared" si="46"/>
        <v>-2532</v>
      </c>
      <c r="K128" s="244">
        <f t="shared" si="46"/>
        <v>-3650.9047619047619</v>
      </c>
      <c r="L128" s="244">
        <f t="shared" si="46"/>
        <v>-6872.4835164835149</v>
      </c>
      <c r="M128" s="262">
        <f t="shared" si="46"/>
        <v>-11854.38783269962</v>
      </c>
      <c r="N128" s="262">
        <f>N120+N124+N125</f>
        <v>2111.9254658385089</v>
      </c>
      <c r="O128" s="262">
        <f>O120+O124+O125</f>
        <v>-5694.7999999999993</v>
      </c>
      <c r="P128" s="239">
        <f>P120+P124+P125</f>
        <v>-14840.083727211342</v>
      </c>
      <c r="Q128" s="239">
        <f>Q120+Q124+Q125</f>
        <v>-49812.969696969703</v>
      </c>
      <c r="R128" s="239">
        <f>R120+R124+R125</f>
        <v>-92738.169491525419</v>
      </c>
    </row>
    <row r="129" spans="2:18">
      <c r="B129" s="72"/>
      <c r="C129" s="240"/>
      <c r="D129" s="240"/>
      <c r="E129" s="240"/>
      <c r="F129" s="240"/>
      <c r="G129" s="138"/>
      <c r="H129" s="138"/>
      <c r="I129" s="138"/>
      <c r="J129" s="183"/>
      <c r="K129" s="183"/>
      <c r="L129" s="183"/>
      <c r="M129" s="252"/>
      <c r="N129" s="252"/>
      <c r="O129" s="252"/>
      <c r="P129" s="240"/>
      <c r="Q129" s="240"/>
      <c r="R129" s="240"/>
    </row>
    <row r="130" spans="2:18">
      <c r="B130" s="71"/>
      <c r="C130" s="238"/>
      <c r="D130" s="238"/>
      <c r="E130" s="238"/>
      <c r="F130" s="238"/>
      <c r="G130" s="136"/>
      <c r="H130" s="136"/>
      <c r="I130" s="136"/>
      <c r="J130" s="181"/>
      <c r="K130" s="181"/>
      <c r="L130" s="181"/>
      <c r="M130" s="250"/>
      <c r="N130" s="250"/>
      <c r="O130" s="250"/>
      <c r="P130" s="238"/>
      <c r="Q130" s="238"/>
      <c r="R130" s="238"/>
    </row>
    <row r="131" spans="2:18" ht="19">
      <c r="B131" s="80" t="s">
        <v>152</v>
      </c>
      <c r="C131" s="239">
        <f t="shared" ref="C131:M131" si="47">C104+C128</f>
        <v>-200</v>
      </c>
      <c r="D131" s="239">
        <f t="shared" si="47"/>
        <v>400</v>
      </c>
      <c r="E131" s="239">
        <f t="shared" si="47"/>
        <v>8660</v>
      </c>
      <c r="F131" s="239">
        <f t="shared" si="47"/>
        <v>8320</v>
      </c>
      <c r="G131" s="242">
        <f t="shared" si="47"/>
        <v>8460</v>
      </c>
      <c r="H131" s="242">
        <f t="shared" si="47"/>
        <v>8020</v>
      </c>
      <c r="I131" s="242">
        <f t="shared" si="47"/>
        <v>10640</v>
      </c>
      <c r="J131" s="244">
        <f t="shared" si="47"/>
        <v>14868</v>
      </c>
      <c r="K131" s="244">
        <f t="shared" si="47"/>
        <v>20543.619047619046</v>
      </c>
      <c r="L131" s="244">
        <f t="shared" si="47"/>
        <v>26709.934065934067</v>
      </c>
      <c r="M131" s="262">
        <f t="shared" si="47"/>
        <v>26317.55133079848</v>
      </c>
      <c r="N131" s="262">
        <f>N104+N128</f>
        <v>38412.298136645964</v>
      </c>
      <c r="O131" s="262">
        <f>O104+O128</f>
        <v>54639.199999999997</v>
      </c>
      <c r="P131" s="239">
        <f>P104+P128</f>
        <v>63100.334908845369</v>
      </c>
      <c r="Q131" s="239">
        <f>Q104+Q128</f>
        <v>58171.878787878806</v>
      </c>
      <c r="R131" s="239">
        <f>R104+R128</f>
        <v>50312.677966101706</v>
      </c>
    </row>
    <row r="132" spans="2:18">
      <c r="B132" s="72"/>
      <c r="C132" s="99"/>
      <c r="D132" s="99"/>
      <c r="E132" s="99"/>
      <c r="F132" s="99"/>
      <c r="G132" s="138"/>
      <c r="H132" s="138"/>
      <c r="I132" s="138"/>
      <c r="J132" s="183"/>
      <c r="K132" s="183"/>
      <c r="L132" s="183"/>
      <c r="M132" s="252"/>
      <c r="N132" s="252"/>
      <c r="O132" s="252"/>
      <c r="P132" s="240"/>
      <c r="Q132" s="240"/>
      <c r="R132" s="240"/>
    </row>
    <row r="133" spans="2:18">
      <c r="B133" s="50"/>
      <c r="C133" s="102"/>
      <c r="D133" s="102"/>
      <c r="E133" s="102"/>
      <c r="F133" s="102"/>
      <c r="G133" s="133"/>
      <c r="H133" s="133"/>
      <c r="I133" s="133"/>
      <c r="J133" s="178"/>
      <c r="K133" s="178"/>
      <c r="L133" s="178"/>
      <c r="M133" s="247"/>
      <c r="N133" s="247"/>
      <c r="O133" s="247"/>
      <c r="P133" s="271"/>
      <c r="Q133" s="271"/>
      <c r="R133" s="271"/>
    </row>
    <row r="134" spans="2:18">
      <c r="B134" s="130" t="s">
        <v>308</v>
      </c>
      <c r="C134" s="238">
        <f>C131</f>
        <v>-200</v>
      </c>
      <c r="D134" s="238">
        <f t="shared" ref="D134:M134" si="48">D131-C131</f>
        <v>600</v>
      </c>
      <c r="E134" s="238">
        <f t="shared" si="48"/>
        <v>8260</v>
      </c>
      <c r="F134" s="238">
        <f t="shared" si="48"/>
        <v>-340</v>
      </c>
      <c r="G134" s="136">
        <f t="shared" si="48"/>
        <v>140</v>
      </c>
      <c r="H134" s="136">
        <f t="shared" si="48"/>
        <v>-440</v>
      </c>
      <c r="I134" s="136">
        <f t="shared" si="48"/>
        <v>2620</v>
      </c>
      <c r="J134" s="181">
        <f t="shared" si="48"/>
        <v>4228</v>
      </c>
      <c r="K134" s="181">
        <f t="shared" si="48"/>
        <v>5675.6190476190459</v>
      </c>
      <c r="L134" s="181">
        <f t="shared" si="48"/>
        <v>6166.315018315021</v>
      </c>
      <c r="M134" s="250">
        <f t="shared" si="48"/>
        <v>-392.3827351355867</v>
      </c>
      <c r="N134" s="250">
        <f>N131-M131</f>
        <v>12094.746805847484</v>
      </c>
      <c r="O134" s="250">
        <f>O131-N131</f>
        <v>16226.901863354033</v>
      </c>
      <c r="P134" s="238">
        <f>P131-O131</f>
        <v>8461.1349088453717</v>
      </c>
      <c r="Q134" s="238">
        <f>Q131-P131</f>
        <v>-4928.4561209665626</v>
      </c>
      <c r="R134" s="238">
        <f>R131-Q131</f>
        <v>-7859.2008217770999</v>
      </c>
    </row>
    <row r="135" spans="2:18">
      <c r="B135" s="53"/>
      <c r="C135" s="104"/>
      <c r="D135" s="104"/>
      <c r="E135" s="104"/>
      <c r="F135" s="104"/>
      <c r="G135" s="135"/>
      <c r="H135" s="135"/>
      <c r="I135" s="135"/>
      <c r="J135" s="180"/>
      <c r="K135" s="180"/>
      <c r="L135" s="180"/>
      <c r="M135" s="249"/>
      <c r="N135" s="249"/>
      <c r="O135" s="249"/>
      <c r="P135" s="313"/>
      <c r="Q135" s="313"/>
      <c r="R135" s="313"/>
    </row>
    <row r="138" spans="2:18">
      <c r="B138" s="86"/>
      <c r="C138" s="97"/>
      <c r="D138" s="97"/>
      <c r="E138" s="97"/>
      <c r="F138" s="97"/>
      <c r="G138" s="145"/>
      <c r="H138" s="145"/>
      <c r="I138" s="145"/>
      <c r="J138" s="189"/>
      <c r="K138" s="189"/>
      <c r="L138" s="189"/>
      <c r="M138" s="258"/>
      <c r="N138" s="258"/>
      <c r="O138" s="258"/>
      <c r="P138" s="97"/>
      <c r="Q138" s="97"/>
      <c r="R138" s="97"/>
    </row>
    <row r="139" spans="2:18" ht="19">
      <c r="B139" s="80" t="s">
        <v>60</v>
      </c>
      <c r="C139" s="98" t="str">
        <f>C$5</f>
        <v>September</v>
      </c>
      <c r="D139" s="98" t="str">
        <f t="shared" ref="D139:R139" si="49">D$5</f>
        <v>October</v>
      </c>
      <c r="E139" s="98" t="str">
        <f t="shared" si="49"/>
        <v>November</v>
      </c>
      <c r="F139" s="98" t="str">
        <f t="shared" si="49"/>
        <v>December</v>
      </c>
      <c r="G139" s="146" t="str">
        <f t="shared" si="49"/>
        <v>January</v>
      </c>
      <c r="H139" s="146" t="str">
        <f t="shared" si="49"/>
        <v>February</v>
      </c>
      <c r="I139" s="146" t="str">
        <f t="shared" si="49"/>
        <v>March</v>
      </c>
      <c r="J139" s="190" t="str">
        <f t="shared" si="49"/>
        <v>April</v>
      </c>
      <c r="K139" s="190" t="str">
        <f t="shared" si="49"/>
        <v>May</v>
      </c>
      <c r="L139" s="190" t="str">
        <f t="shared" si="49"/>
        <v>June</v>
      </c>
      <c r="M139" s="259" t="str">
        <f t="shared" si="49"/>
        <v>July</v>
      </c>
      <c r="N139" s="259" t="str">
        <f t="shared" si="49"/>
        <v>August</v>
      </c>
      <c r="O139" s="259" t="str">
        <f t="shared" si="49"/>
        <v>September</v>
      </c>
      <c r="P139" s="98" t="str">
        <f t="shared" si="49"/>
        <v>October</v>
      </c>
      <c r="Q139" s="98" t="str">
        <f t="shared" si="49"/>
        <v>November</v>
      </c>
      <c r="R139" s="98" t="str">
        <f t="shared" si="49"/>
        <v>December</v>
      </c>
    </row>
    <row r="140" spans="2:18">
      <c r="B140" s="72"/>
      <c r="C140" s="99"/>
      <c r="D140" s="99"/>
      <c r="E140" s="99"/>
      <c r="F140" s="99"/>
      <c r="G140" s="140"/>
      <c r="H140" s="140"/>
      <c r="I140" s="140"/>
      <c r="J140" s="185"/>
      <c r="K140" s="185"/>
      <c r="L140" s="185"/>
      <c r="M140" s="254"/>
      <c r="N140" s="254"/>
      <c r="O140" s="254"/>
      <c r="P140" s="99"/>
      <c r="Q140" s="99"/>
      <c r="R140" s="99"/>
    </row>
    <row r="141" spans="2:18">
      <c r="B141" s="86"/>
      <c r="C141" s="86"/>
      <c r="D141" s="86"/>
      <c r="E141" s="86"/>
      <c r="F141" s="86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</row>
    <row r="142" spans="2:18">
      <c r="B142" s="9" t="s">
        <v>248</v>
      </c>
      <c r="C142" s="71"/>
      <c r="D142" s="71"/>
      <c r="E142" s="71"/>
      <c r="F142" s="71"/>
      <c r="G142" s="93"/>
      <c r="H142" s="93"/>
      <c r="I142" s="93"/>
      <c r="J142" s="93">
        <f>'April-2'!C95</f>
        <v>60000</v>
      </c>
      <c r="K142" s="93">
        <f>'May-2'!C91</f>
        <v>60000</v>
      </c>
      <c r="L142" s="93">
        <f>'June-2'!C91</f>
        <v>60000</v>
      </c>
      <c r="M142" s="93">
        <f>'July-2'!C99</f>
        <v>60000</v>
      </c>
      <c r="N142" s="93">
        <f>'August-2'!C99</f>
        <v>60000</v>
      </c>
      <c r="O142" s="93">
        <f>'September-2'!C100</f>
        <v>60000</v>
      </c>
      <c r="P142" s="93">
        <f>'October-2'!C99</f>
        <v>360000</v>
      </c>
      <c r="Q142" s="93">
        <f>'November-2'!C98</f>
        <v>360000</v>
      </c>
      <c r="R142" s="93">
        <f>'December-2'!C98</f>
        <v>360000</v>
      </c>
    </row>
    <row r="143" spans="2:18">
      <c r="B143" s="9" t="s">
        <v>271</v>
      </c>
      <c r="C143" s="72"/>
      <c r="D143" s="72"/>
      <c r="E143" s="72"/>
      <c r="F143" s="72"/>
      <c r="G143" s="94"/>
      <c r="H143" s="94"/>
      <c r="I143" s="94"/>
      <c r="J143" s="94">
        <f>'April-2'!C96</f>
        <v>-1000</v>
      </c>
      <c r="K143" s="94">
        <f>'May-2'!C92</f>
        <v>-2000</v>
      </c>
      <c r="L143" s="94">
        <f>'June-2'!C92</f>
        <v>-3000</v>
      </c>
      <c r="M143" s="94">
        <f>'July-2'!C100</f>
        <v>-4000</v>
      </c>
      <c r="N143" s="94">
        <f>'August-2'!C100</f>
        <v>-5000</v>
      </c>
      <c r="O143" s="94">
        <f>'September-2'!C101</f>
        <v>-6000</v>
      </c>
      <c r="P143" s="94">
        <f>'October-2'!C100</f>
        <v>-12000</v>
      </c>
      <c r="Q143" s="94">
        <f>'November-2'!C99</f>
        <v>-18000</v>
      </c>
      <c r="R143" s="94">
        <f>'December-2'!C99</f>
        <v>-24000</v>
      </c>
    </row>
    <row r="144" spans="2:18">
      <c r="B144" s="9" t="s">
        <v>247</v>
      </c>
      <c r="C144" s="93"/>
      <c r="D144" s="93"/>
      <c r="E144" s="93"/>
      <c r="F144" s="93"/>
      <c r="G144" s="93"/>
      <c r="H144" s="93"/>
      <c r="I144" s="93"/>
      <c r="J144" s="93">
        <f t="shared" ref="J144:Q144" si="50">J142+J143</f>
        <v>59000</v>
      </c>
      <c r="K144" s="93">
        <f t="shared" si="50"/>
        <v>58000</v>
      </c>
      <c r="L144" s="93">
        <f t="shared" si="50"/>
        <v>57000</v>
      </c>
      <c r="M144" s="93">
        <f t="shared" si="50"/>
        <v>56000</v>
      </c>
      <c r="N144" s="93">
        <f t="shared" si="50"/>
        <v>55000</v>
      </c>
      <c r="O144" s="93">
        <f t="shared" si="50"/>
        <v>54000</v>
      </c>
      <c r="P144" s="93">
        <f t="shared" si="50"/>
        <v>348000</v>
      </c>
      <c r="Q144" s="93">
        <f t="shared" si="50"/>
        <v>342000</v>
      </c>
      <c r="R144" s="93">
        <f>R142+R143</f>
        <v>336000</v>
      </c>
    </row>
    <row r="145" spans="2:18">
      <c r="B145" s="9"/>
      <c r="C145" s="71"/>
      <c r="D145" s="71"/>
      <c r="E145" s="71"/>
      <c r="F145" s="71"/>
      <c r="G145" s="93"/>
      <c r="H145" s="93"/>
      <c r="I145" s="93"/>
      <c r="J145" s="93"/>
      <c r="K145" s="93"/>
      <c r="L145" s="93"/>
      <c r="M145" s="93"/>
      <c r="N145" s="93"/>
      <c r="O145" s="93"/>
      <c r="P145" s="93">
        <f>'October-2'!C102</f>
        <v>0</v>
      </c>
      <c r="Q145" s="93"/>
      <c r="R145" s="93"/>
    </row>
    <row r="146" spans="2:18">
      <c r="B146" s="177" t="s">
        <v>285</v>
      </c>
      <c r="C146" s="71"/>
      <c r="D146" s="71"/>
      <c r="E146" s="71"/>
      <c r="F146" s="71"/>
      <c r="G146" s="93"/>
      <c r="H146" s="93"/>
      <c r="I146" s="93"/>
      <c r="J146" s="93"/>
      <c r="K146" s="93"/>
      <c r="L146" s="93"/>
      <c r="M146" s="93">
        <f>'July-2'!C104</f>
        <v>4500</v>
      </c>
      <c r="N146" s="93">
        <f>'August-2'!C104</f>
        <v>10500</v>
      </c>
      <c r="O146" s="93">
        <f>'September-2'!C105</f>
        <v>18000</v>
      </c>
      <c r="P146" s="93">
        <f>'October-2'!C103</f>
        <v>25000</v>
      </c>
      <c r="Q146" s="93">
        <f>'November-2'!C102</f>
        <v>32000</v>
      </c>
      <c r="R146" s="93">
        <f>'December-2'!C102</f>
        <v>42000</v>
      </c>
    </row>
    <row r="147" spans="2:18">
      <c r="B147" s="71"/>
      <c r="C147" s="71"/>
      <c r="D147" s="71"/>
      <c r="E147" s="71"/>
      <c r="F147" s="71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</row>
    <row r="148" spans="2:18" s="234" customFormat="1">
      <c r="B148" s="192" t="s">
        <v>288</v>
      </c>
      <c r="C148" s="236"/>
      <c r="D148" s="236"/>
      <c r="E148" s="236"/>
      <c r="F148" s="236"/>
      <c r="G148" s="236"/>
      <c r="H148" s="236"/>
      <c r="I148" s="236"/>
      <c r="J148" s="236">
        <f t="shared" ref="J148:Q148" si="51">J144+J146</f>
        <v>59000</v>
      </c>
      <c r="K148" s="236">
        <f t="shared" si="51"/>
        <v>58000</v>
      </c>
      <c r="L148" s="236">
        <f t="shared" si="51"/>
        <v>57000</v>
      </c>
      <c r="M148" s="236">
        <f t="shared" si="51"/>
        <v>60500</v>
      </c>
      <c r="N148" s="236">
        <f t="shared" si="51"/>
        <v>65500</v>
      </c>
      <c r="O148" s="236">
        <f t="shared" si="51"/>
        <v>72000</v>
      </c>
      <c r="P148" s="236">
        <f t="shared" si="51"/>
        <v>373000</v>
      </c>
      <c r="Q148" s="236">
        <f t="shared" si="51"/>
        <v>374000</v>
      </c>
      <c r="R148" s="236">
        <f>R144+R146</f>
        <v>378000</v>
      </c>
    </row>
    <row r="149" spans="2:18">
      <c r="B149" s="71"/>
      <c r="C149" s="71"/>
      <c r="D149" s="71"/>
      <c r="E149" s="71"/>
      <c r="F149" s="71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</row>
    <row r="150" spans="2:18">
      <c r="B150" s="9" t="s">
        <v>127</v>
      </c>
      <c r="C150" s="93"/>
      <c r="D150" s="93"/>
      <c r="E150" s="93">
        <f t="shared" ref="E150:Q150" si="52">E97</f>
        <v>10000</v>
      </c>
      <c r="F150" s="93">
        <f t="shared" si="52"/>
        <v>12000</v>
      </c>
      <c r="G150" s="93">
        <f t="shared" si="52"/>
        <v>4000</v>
      </c>
      <c r="H150" s="93">
        <f t="shared" si="52"/>
        <v>9000</v>
      </c>
      <c r="I150" s="93">
        <f t="shared" si="52"/>
        <v>8000</v>
      </c>
      <c r="J150" s="93">
        <f t="shared" si="52"/>
        <v>14300</v>
      </c>
      <c r="K150" s="93">
        <f t="shared" si="52"/>
        <v>16854.523809523809</v>
      </c>
      <c r="L150" s="93">
        <f t="shared" si="52"/>
        <v>21562.417582417584</v>
      </c>
      <c r="M150" s="93">
        <f t="shared" si="52"/>
        <v>27231.9391634981</v>
      </c>
      <c r="N150" s="93">
        <f t="shared" si="52"/>
        <v>32060.37267080745</v>
      </c>
      <c r="O150" s="93">
        <f t="shared" si="52"/>
        <v>42834</v>
      </c>
      <c r="P150" s="93">
        <f t="shared" si="52"/>
        <v>62180.418636056718</v>
      </c>
      <c r="Q150" s="93">
        <f t="shared" si="52"/>
        <v>81284.848484848495</v>
      </c>
      <c r="R150" s="93">
        <f>'December-2'!C107</f>
        <v>111050.84745762711</v>
      </c>
    </row>
    <row r="151" spans="2:18">
      <c r="B151" s="9" t="s">
        <v>128</v>
      </c>
      <c r="C151" s="93"/>
      <c r="D151" s="93">
        <f t="shared" ref="D151:Q151" si="53">D99</f>
        <v>5000</v>
      </c>
      <c r="E151" s="93">
        <f t="shared" si="53"/>
        <v>15000</v>
      </c>
      <c r="F151" s="93">
        <f t="shared" si="53"/>
        <v>15000</v>
      </c>
      <c r="G151" s="93">
        <f t="shared" si="53"/>
        <v>12500</v>
      </c>
      <c r="H151" s="93">
        <f t="shared" si="53"/>
        <v>15000</v>
      </c>
      <c r="I151" s="93">
        <f t="shared" si="53"/>
        <v>17500</v>
      </c>
      <c r="J151" s="93">
        <f t="shared" si="53"/>
        <v>22500</v>
      </c>
      <c r="K151" s="93">
        <f t="shared" si="53"/>
        <v>27500</v>
      </c>
      <c r="L151" s="93">
        <f t="shared" si="53"/>
        <v>37500</v>
      </c>
      <c r="M151" s="93">
        <f t="shared" si="53"/>
        <v>42500</v>
      </c>
      <c r="N151" s="93">
        <f t="shared" si="53"/>
        <v>30000</v>
      </c>
      <c r="O151" s="93">
        <f t="shared" si="53"/>
        <v>57500</v>
      </c>
      <c r="P151" s="93">
        <f t="shared" si="53"/>
        <v>75000</v>
      </c>
      <c r="Q151" s="93">
        <f t="shared" si="53"/>
        <v>112500</v>
      </c>
      <c r="R151" s="93">
        <f>'December-2'!C108</f>
        <v>150000</v>
      </c>
    </row>
    <row r="152" spans="2:18">
      <c r="B152" s="9" t="s">
        <v>357</v>
      </c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>
        <f>N120</f>
        <v>18000</v>
      </c>
      <c r="O152" s="94">
        <f>O120</f>
        <v>15000</v>
      </c>
      <c r="P152" s="94">
        <f>P120</f>
        <v>12000</v>
      </c>
      <c r="Q152" s="94">
        <f>Q120</f>
        <v>9000</v>
      </c>
      <c r="R152" s="94">
        <f>'December-2'!C109</f>
        <v>6000</v>
      </c>
    </row>
    <row r="153" spans="2:18">
      <c r="B153" s="9"/>
      <c r="C153" s="71"/>
      <c r="D153" s="71"/>
      <c r="E153" s="71"/>
      <c r="F153" s="71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</row>
    <row r="154" spans="2:18">
      <c r="B154" s="9" t="s">
        <v>290</v>
      </c>
      <c r="C154" s="93"/>
      <c r="D154" s="93">
        <f t="shared" ref="D154:Q154" si="54">D150+D151+D152</f>
        <v>5000</v>
      </c>
      <c r="E154" s="93">
        <f t="shared" si="54"/>
        <v>25000</v>
      </c>
      <c r="F154" s="93">
        <f t="shared" si="54"/>
        <v>27000</v>
      </c>
      <c r="G154" s="93">
        <f t="shared" si="54"/>
        <v>16500</v>
      </c>
      <c r="H154" s="93">
        <f t="shared" si="54"/>
        <v>24000</v>
      </c>
      <c r="I154" s="93">
        <f t="shared" si="54"/>
        <v>25500</v>
      </c>
      <c r="J154" s="93">
        <f t="shared" si="54"/>
        <v>36800</v>
      </c>
      <c r="K154" s="93">
        <f t="shared" si="54"/>
        <v>44354.523809523809</v>
      </c>
      <c r="L154" s="93">
        <f t="shared" si="54"/>
        <v>59062.417582417584</v>
      </c>
      <c r="M154" s="93">
        <f t="shared" si="54"/>
        <v>69731.9391634981</v>
      </c>
      <c r="N154" s="93">
        <f t="shared" si="54"/>
        <v>80060.372670807454</v>
      </c>
      <c r="O154" s="93">
        <f t="shared" si="54"/>
        <v>115334</v>
      </c>
      <c r="P154" s="93">
        <f t="shared" si="54"/>
        <v>149180.41863605671</v>
      </c>
      <c r="Q154" s="93">
        <f t="shared" si="54"/>
        <v>202784.84848484851</v>
      </c>
      <c r="R154" s="93">
        <f>R150+R151+R152</f>
        <v>267050.84745762713</v>
      </c>
    </row>
    <row r="155" spans="2:18">
      <c r="B155" s="71"/>
      <c r="C155" s="71"/>
      <c r="D155" s="71"/>
      <c r="E155" s="71"/>
      <c r="F155" s="71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</row>
    <row r="156" spans="2:18">
      <c r="B156" s="71" t="s">
        <v>63</v>
      </c>
      <c r="C156" s="71">
        <f>'September-1'!C41</f>
        <v>11000</v>
      </c>
      <c r="D156" s="71">
        <f>'October-1'!C45</f>
        <v>12000</v>
      </c>
      <c r="E156" s="71">
        <f>'November-1'!C56</f>
        <v>6700</v>
      </c>
      <c r="F156" s="71">
        <f>'December-1'!C70</f>
        <v>10400</v>
      </c>
      <c r="G156" s="93">
        <f>'January-2'!C78</f>
        <v>10420</v>
      </c>
      <c r="H156" s="93">
        <f>'February-2'!C70</f>
        <v>14620</v>
      </c>
      <c r="I156" s="93">
        <f>'March-2'!C70</f>
        <v>13520</v>
      </c>
      <c r="J156" s="93">
        <f>'April-2'!C103</f>
        <v>2980</v>
      </c>
      <c r="K156" s="93">
        <f>'May-2'!C99</f>
        <v>2780</v>
      </c>
      <c r="L156" s="93">
        <f>'June-2'!C99</f>
        <v>10500</v>
      </c>
      <c r="M156" s="93">
        <f>'July-2'!C109</f>
        <v>27320</v>
      </c>
      <c r="N156" s="93">
        <f>'August-2'!C114</f>
        <v>26360</v>
      </c>
      <c r="O156" s="93">
        <f>'September-2'!C115</f>
        <v>22860</v>
      </c>
      <c r="P156" s="93">
        <f>'October-2'!C113</f>
        <v>37980</v>
      </c>
      <c r="Q156" s="93">
        <f>'November-2'!C112</f>
        <v>69800</v>
      </c>
      <c r="R156" s="93">
        <f>'December-2'!C113</f>
        <v>113360</v>
      </c>
    </row>
    <row r="157" spans="2:18">
      <c r="B157" s="71"/>
      <c r="C157" s="71"/>
      <c r="D157" s="71"/>
      <c r="E157" s="71"/>
      <c r="F157" s="71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</row>
    <row r="158" spans="2:18" s="234" customFormat="1">
      <c r="B158" s="74" t="s">
        <v>370</v>
      </c>
      <c r="C158" s="236">
        <f t="shared" ref="C158:Q158" si="55">C154+C156</f>
        <v>11000</v>
      </c>
      <c r="D158" s="236">
        <f t="shared" si="55"/>
        <v>17000</v>
      </c>
      <c r="E158" s="236">
        <f t="shared" si="55"/>
        <v>31700</v>
      </c>
      <c r="F158" s="236">
        <f t="shared" si="55"/>
        <v>37400</v>
      </c>
      <c r="G158" s="236">
        <f t="shared" si="55"/>
        <v>26920</v>
      </c>
      <c r="H158" s="236">
        <f t="shared" si="55"/>
        <v>38620</v>
      </c>
      <c r="I158" s="236">
        <f t="shared" si="55"/>
        <v>39020</v>
      </c>
      <c r="J158" s="236">
        <f t="shared" si="55"/>
        <v>39780</v>
      </c>
      <c r="K158" s="236">
        <f t="shared" si="55"/>
        <v>47134.523809523809</v>
      </c>
      <c r="L158" s="236">
        <f t="shared" si="55"/>
        <v>69562.417582417576</v>
      </c>
      <c r="M158" s="236">
        <f t="shared" si="55"/>
        <v>97051.9391634981</v>
      </c>
      <c r="N158" s="236">
        <f t="shared" si="55"/>
        <v>106420.37267080745</v>
      </c>
      <c r="O158" s="236">
        <f t="shared" si="55"/>
        <v>138194</v>
      </c>
      <c r="P158" s="236">
        <f t="shared" si="55"/>
        <v>187160.41863605671</v>
      </c>
      <c r="Q158" s="236">
        <f t="shared" si="55"/>
        <v>272584.84848484851</v>
      </c>
      <c r="R158" s="236">
        <f>R154+R156</f>
        <v>380410.84745762713</v>
      </c>
    </row>
    <row r="159" spans="2:18">
      <c r="B159" s="71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</row>
    <row r="160" spans="2:18" s="234" customFormat="1">
      <c r="B160" s="74" t="s">
        <v>5</v>
      </c>
      <c r="C160" s="236">
        <f t="shared" ref="C160:Q160" si="56">C148+C158</f>
        <v>11000</v>
      </c>
      <c r="D160" s="236">
        <f t="shared" si="56"/>
        <v>17000</v>
      </c>
      <c r="E160" s="236">
        <f t="shared" si="56"/>
        <v>31700</v>
      </c>
      <c r="F160" s="236">
        <f t="shared" si="56"/>
        <v>37400</v>
      </c>
      <c r="G160" s="236">
        <f t="shared" si="56"/>
        <v>26920</v>
      </c>
      <c r="H160" s="236">
        <f t="shared" si="56"/>
        <v>38620</v>
      </c>
      <c r="I160" s="236">
        <f t="shared" si="56"/>
        <v>39020</v>
      </c>
      <c r="J160" s="236">
        <f t="shared" si="56"/>
        <v>98780</v>
      </c>
      <c r="K160" s="236">
        <f t="shared" si="56"/>
        <v>105134.52380952382</v>
      </c>
      <c r="L160" s="236">
        <f t="shared" si="56"/>
        <v>126562.41758241758</v>
      </c>
      <c r="M160" s="236">
        <f t="shared" si="56"/>
        <v>157551.93916349811</v>
      </c>
      <c r="N160" s="236">
        <f t="shared" si="56"/>
        <v>171920.37267080747</v>
      </c>
      <c r="O160" s="236">
        <f t="shared" si="56"/>
        <v>210194</v>
      </c>
      <c r="P160" s="236">
        <f t="shared" si="56"/>
        <v>560160.41863605671</v>
      </c>
      <c r="Q160" s="236">
        <f t="shared" si="56"/>
        <v>646584.84848484851</v>
      </c>
      <c r="R160" s="236">
        <f>R148+R158</f>
        <v>758410.84745762707</v>
      </c>
    </row>
    <row r="161" spans="2:18">
      <c r="B161" s="72"/>
      <c r="C161" s="72"/>
      <c r="D161" s="72"/>
      <c r="E161" s="72"/>
      <c r="F161" s="72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</row>
    <row r="162" spans="2:18">
      <c r="B162" s="86"/>
      <c r="C162" s="97"/>
      <c r="D162" s="97"/>
      <c r="E162" s="97"/>
      <c r="F162" s="97"/>
      <c r="G162" s="145"/>
      <c r="H162" s="145"/>
      <c r="I162" s="145"/>
      <c r="J162" s="189"/>
      <c r="K162" s="189"/>
      <c r="L162" s="189"/>
      <c r="M162" s="258"/>
      <c r="N162" s="258"/>
      <c r="O162" s="258"/>
      <c r="P162" s="97"/>
      <c r="Q162" s="97"/>
      <c r="R162" s="97"/>
    </row>
    <row r="163" spans="2:18" ht="19">
      <c r="B163" s="80" t="s">
        <v>84</v>
      </c>
      <c r="C163" s="98" t="str">
        <f>C$5</f>
        <v>September</v>
      </c>
      <c r="D163" s="98" t="str">
        <f t="shared" ref="D163:R163" si="57">D$5</f>
        <v>October</v>
      </c>
      <c r="E163" s="98" t="str">
        <f t="shared" si="57"/>
        <v>November</v>
      </c>
      <c r="F163" s="98" t="str">
        <f t="shared" si="57"/>
        <v>December</v>
      </c>
      <c r="G163" s="146" t="str">
        <f t="shared" si="57"/>
        <v>January</v>
      </c>
      <c r="H163" s="146" t="str">
        <f t="shared" si="57"/>
        <v>February</v>
      </c>
      <c r="I163" s="146" t="str">
        <f t="shared" si="57"/>
        <v>March</v>
      </c>
      <c r="J163" s="190" t="str">
        <f t="shared" si="57"/>
        <v>April</v>
      </c>
      <c r="K163" s="190" t="str">
        <f t="shared" si="57"/>
        <v>May</v>
      </c>
      <c r="L163" s="190" t="str">
        <f t="shared" si="57"/>
        <v>June</v>
      </c>
      <c r="M163" s="259" t="str">
        <f t="shared" si="57"/>
        <v>July</v>
      </c>
      <c r="N163" s="259" t="str">
        <f t="shared" si="57"/>
        <v>August</v>
      </c>
      <c r="O163" s="259" t="str">
        <f t="shared" si="57"/>
        <v>September</v>
      </c>
      <c r="P163" s="98" t="str">
        <f t="shared" si="57"/>
        <v>October</v>
      </c>
      <c r="Q163" s="98" t="str">
        <f t="shared" si="57"/>
        <v>November</v>
      </c>
      <c r="R163" s="98" t="str">
        <f t="shared" si="57"/>
        <v>December</v>
      </c>
    </row>
    <row r="164" spans="2:18">
      <c r="B164" s="72"/>
      <c r="C164" s="99"/>
      <c r="D164" s="99"/>
      <c r="E164" s="99"/>
      <c r="F164" s="99"/>
      <c r="G164" s="140"/>
      <c r="H164" s="140"/>
      <c r="I164" s="140"/>
      <c r="J164" s="185"/>
      <c r="K164" s="185"/>
      <c r="L164" s="185"/>
      <c r="M164" s="254"/>
      <c r="N164" s="254"/>
      <c r="O164" s="254"/>
      <c r="P164" s="99"/>
      <c r="Q164" s="99"/>
      <c r="R164" s="99"/>
    </row>
    <row r="165" spans="2:18">
      <c r="B165" s="86"/>
      <c r="C165" s="86"/>
      <c r="D165" s="86"/>
      <c r="E165" s="86"/>
      <c r="F165" s="86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</row>
    <row r="166" spans="2:18">
      <c r="B166" s="9" t="s">
        <v>62</v>
      </c>
      <c r="C166" s="71">
        <f>'September-1'!E38</f>
        <v>10000</v>
      </c>
      <c r="D166" s="71">
        <f>'October-1'!E40</f>
        <v>10000</v>
      </c>
      <c r="E166" s="71">
        <f>'November-1'!E51</f>
        <v>10000</v>
      </c>
      <c r="F166" s="71">
        <f>'December-1'!E64</f>
        <v>10000</v>
      </c>
      <c r="G166" s="93">
        <f>'January-2'!E72</f>
        <v>10000</v>
      </c>
      <c r="H166" s="93">
        <f>'February-2'!E64</f>
        <v>10000</v>
      </c>
      <c r="I166" s="93">
        <f>'March-2'!E64</f>
        <v>10000</v>
      </c>
      <c r="J166" s="93">
        <f>'April-2'!E94</f>
        <v>10000</v>
      </c>
      <c r="K166" s="93">
        <f>'May-2'!E90</f>
        <v>10000</v>
      </c>
      <c r="L166" s="93">
        <f>'June-2'!E90</f>
        <v>10000</v>
      </c>
      <c r="M166" s="93">
        <f>'July-2'!E98</f>
        <v>10000</v>
      </c>
      <c r="N166" s="93">
        <f>'August-2'!F99</f>
        <v>10000</v>
      </c>
      <c r="O166" s="93">
        <f>'September-2'!E100</f>
        <v>10000</v>
      </c>
      <c r="P166" s="93">
        <f>'October-2'!G99</f>
        <v>11000</v>
      </c>
      <c r="Q166" s="93">
        <f>'November-2'!G98</f>
        <v>11000</v>
      </c>
      <c r="R166" s="93">
        <f>'December-2'!G98</f>
        <v>11000</v>
      </c>
    </row>
    <row r="167" spans="2:18">
      <c r="B167" s="360" t="s">
        <v>347</v>
      </c>
      <c r="C167" s="71"/>
      <c r="D167" s="71"/>
      <c r="E167" s="71"/>
      <c r="F167" s="71"/>
      <c r="G167" s="93"/>
      <c r="H167" s="93"/>
      <c r="I167" s="93"/>
      <c r="J167" s="93"/>
      <c r="K167" s="93"/>
      <c r="L167" s="93"/>
      <c r="M167" s="93"/>
      <c r="N167" s="93"/>
      <c r="O167" s="93"/>
      <c r="P167" s="93">
        <f>'October-2'!G100</f>
        <v>99000</v>
      </c>
      <c r="Q167" s="93">
        <f>'November-2'!G99</f>
        <v>99000</v>
      </c>
      <c r="R167" s="93">
        <f>'December-2'!G99</f>
        <v>99000</v>
      </c>
    </row>
    <row r="168" spans="2:18">
      <c r="B168" s="9" t="s">
        <v>85</v>
      </c>
      <c r="C168" s="72">
        <f>'September-1'!E39-C175</f>
        <v>800</v>
      </c>
      <c r="D168" s="72">
        <f>'October-1'!E41-D175</f>
        <v>2400</v>
      </c>
      <c r="E168" s="72">
        <f>'November-1'!E52-E175</f>
        <v>5360</v>
      </c>
      <c r="F168" s="72">
        <f>'December-1'!E65</f>
        <v>8720</v>
      </c>
      <c r="G168" s="94">
        <f>'January-2'!E73</f>
        <v>8880</v>
      </c>
      <c r="H168" s="94">
        <f>'February-2'!E65</f>
        <v>12640</v>
      </c>
      <c r="I168" s="94">
        <f>'March-2'!E65</f>
        <v>14160</v>
      </c>
      <c r="J168" s="94">
        <f>'April-2'!E95</f>
        <v>18848</v>
      </c>
      <c r="K168" s="94">
        <f>'May-2'!E91</f>
        <v>23323.619047619046</v>
      </c>
      <c r="L168" s="94">
        <f>'June-2'!E91</f>
        <v>36209.93406593406</v>
      </c>
      <c r="M168" s="94">
        <f>'July-2'!E99</f>
        <v>56137.55133079848</v>
      </c>
      <c r="N168" s="94">
        <f>'August-2'!F100</f>
        <v>72272.298136645957</v>
      </c>
      <c r="O168" s="94">
        <f>'September-2'!E101</f>
        <v>91499.199999999997</v>
      </c>
      <c r="P168" s="94">
        <f>'October-2'!G101</f>
        <v>116080.33490884537</v>
      </c>
      <c r="Q168" s="94">
        <f>'November-2'!G100</f>
        <v>143971.87878787881</v>
      </c>
      <c r="R168" s="94">
        <f>'December-2'!G100</f>
        <v>183672.67796610171</v>
      </c>
    </row>
    <row r="169" spans="2:18">
      <c r="B169" s="9" t="s">
        <v>82</v>
      </c>
      <c r="C169" s="93">
        <f t="shared" ref="C169:N169" si="58">C166+C168</f>
        <v>10800</v>
      </c>
      <c r="D169" s="93">
        <f t="shared" si="58"/>
        <v>12400</v>
      </c>
      <c r="E169" s="93">
        <f t="shared" si="58"/>
        <v>15360</v>
      </c>
      <c r="F169" s="93">
        <f t="shared" si="58"/>
        <v>18720</v>
      </c>
      <c r="G169" s="93">
        <f t="shared" si="58"/>
        <v>18880</v>
      </c>
      <c r="H169" s="93">
        <f t="shared" si="58"/>
        <v>22640</v>
      </c>
      <c r="I169" s="93">
        <f t="shared" si="58"/>
        <v>24160</v>
      </c>
      <c r="J169" s="93">
        <f t="shared" si="58"/>
        <v>28848</v>
      </c>
      <c r="K169" s="93">
        <f t="shared" si="58"/>
        <v>33323.619047619046</v>
      </c>
      <c r="L169" s="93">
        <f t="shared" si="58"/>
        <v>46209.93406593406</v>
      </c>
      <c r="M169" s="93">
        <f t="shared" si="58"/>
        <v>66137.55133079848</v>
      </c>
      <c r="N169" s="93">
        <f t="shared" si="58"/>
        <v>82272.298136645957</v>
      </c>
      <c r="O169" s="93">
        <f>O166+O168</f>
        <v>101499.2</v>
      </c>
      <c r="P169" s="93">
        <f>'October-2'!G102</f>
        <v>226080.33490884537</v>
      </c>
      <c r="Q169" s="93">
        <f>'November-2'!G101</f>
        <v>253971.87878787881</v>
      </c>
      <c r="R169" s="93">
        <f>'December-2'!G101</f>
        <v>293672.67796610168</v>
      </c>
    </row>
    <row r="170" spans="2:18">
      <c r="B170" s="9"/>
      <c r="C170" s="71"/>
      <c r="D170" s="71"/>
      <c r="E170" s="71"/>
      <c r="F170" s="71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</row>
    <row r="171" spans="2:18">
      <c r="B171" s="9" t="s">
        <v>229</v>
      </c>
      <c r="C171" s="71"/>
      <c r="D171" s="71"/>
      <c r="E171" s="71"/>
      <c r="F171" s="71"/>
      <c r="G171" s="93"/>
      <c r="H171" s="93"/>
      <c r="I171" s="93"/>
      <c r="J171" s="93">
        <f>'April-2'!E98</f>
        <v>48000</v>
      </c>
      <c r="K171" s="93">
        <f>'May-2'!E94</f>
        <v>48000</v>
      </c>
      <c r="L171" s="93">
        <f>'June-2'!E94</f>
        <v>48000</v>
      </c>
      <c r="M171" s="93">
        <f>'July-2'!E104</f>
        <v>48000</v>
      </c>
      <c r="N171" s="93">
        <f>'August-2'!F105</f>
        <v>48000</v>
      </c>
      <c r="O171" s="93">
        <f>'September-2'!E106</f>
        <v>48000</v>
      </c>
      <c r="P171" s="93">
        <f>'October-2'!G104</f>
        <v>248000</v>
      </c>
      <c r="Q171" s="93">
        <f>'November-2'!G103</f>
        <v>248000</v>
      </c>
      <c r="R171" s="93">
        <f>'December-2'!G103</f>
        <v>248000</v>
      </c>
    </row>
    <row r="172" spans="2:18">
      <c r="B172" s="71"/>
      <c r="C172" s="71"/>
      <c r="D172" s="71"/>
      <c r="E172" s="71"/>
      <c r="F172" s="71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</row>
    <row r="173" spans="2:18">
      <c r="B173" s="9" t="s">
        <v>135</v>
      </c>
      <c r="C173" s="93"/>
      <c r="D173" s="93"/>
      <c r="E173" s="93"/>
      <c r="F173" s="93">
        <f>-F124</f>
        <v>2000</v>
      </c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>
        <f>-Q124</f>
        <v>20000</v>
      </c>
      <c r="R173" s="93">
        <f>-R124</f>
        <v>40000</v>
      </c>
    </row>
    <row r="174" spans="2:18">
      <c r="B174" s="9" t="s">
        <v>86</v>
      </c>
      <c r="C174" s="93"/>
      <c r="D174" s="93">
        <f t="shared" ref="D174:R174" si="59">-D101</f>
        <v>4000</v>
      </c>
      <c r="E174" s="93">
        <f t="shared" si="59"/>
        <v>15000</v>
      </c>
      <c r="F174" s="93">
        <f t="shared" si="59"/>
        <v>14000</v>
      </c>
      <c r="G174" s="93">
        <f t="shared" si="59"/>
        <v>8000</v>
      </c>
      <c r="H174" s="93">
        <f t="shared" si="59"/>
        <v>15000</v>
      </c>
      <c r="I174" s="93">
        <f t="shared" si="59"/>
        <v>13500</v>
      </c>
      <c r="J174" s="93">
        <f t="shared" si="59"/>
        <v>19400</v>
      </c>
      <c r="K174" s="93">
        <f t="shared" si="59"/>
        <v>20160</v>
      </c>
      <c r="L174" s="93">
        <f t="shared" si="59"/>
        <v>25480</v>
      </c>
      <c r="M174" s="93">
        <f t="shared" si="59"/>
        <v>31560</v>
      </c>
      <c r="N174" s="93">
        <f t="shared" si="59"/>
        <v>25760</v>
      </c>
      <c r="O174" s="93">
        <f t="shared" si="59"/>
        <v>40000</v>
      </c>
      <c r="P174" s="93">
        <f t="shared" si="59"/>
        <v>59240</v>
      </c>
      <c r="Q174" s="93">
        <f t="shared" si="59"/>
        <v>85800</v>
      </c>
      <c r="R174" s="93">
        <f t="shared" si="59"/>
        <v>118000</v>
      </c>
    </row>
    <row r="175" spans="2:18">
      <c r="B175" s="9" t="s">
        <v>145</v>
      </c>
      <c r="C175" s="94">
        <f t="shared" ref="C175:R175" si="60">-C125</f>
        <v>200</v>
      </c>
      <c r="D175" s="94">
        <f t="shared" si="60"/>
        <v>600</v>
      </c>
      <c r="E175" s="94">
        <f t="shared" si="60"/>
        <v>1340</v>
      </c>
      <c r="F175" s="94">
        <f t="shared" si="60"/>
        <v>2680</v>
      </c>
      <c r="G175" s="94">
        <f t="shared" si="60"/>
        <v>40</v>
      </c>
      <c r="H175" s="94">
        <f t="shared" si="60"/>
        <v>980</v>
      </c>
      <c r="I175" s="94">
        <f t="shared" si="60"/>
        <v>1360</v>
      </c>
      <c r="J175" s="94">
        <f t="shared" si="60"/>
        <v>2532</v>
      </c>
      <c r="K175" s="94">
        <f t="shared" si="60"/>
        <v>3650.9047619047619</v>
      </c>
      <c r="L175" s="94">
        <f t="shared" si="60"/>
        <v>6872.4835164835149</v>
      </c>
      <c r="M175" s="94">
        <f t="shared" si="60"/>
        <v>11854.38783269962</v>
      </c>
      <c r="N175" s="94">
        <f t="shared" si="60"/>
        <v>15888.074534161491</v>
      </c>
      <c r="O175" s="94">
        <f t="shared" si="60"/>
        <v>20694.8</v>
      </c>
      <c r="P175" s="94">
        <f t="shared" si="60"/>
        <v>26840.083727211342</v>
      </c>
      <c r="Q175" s="94">
        <f t="shared" si="60"/>
        <v>38812.969696969703</v>
      </c>
      <c r="R175" s="94">
        <f t="shared" si="60"/>
        <v>58738.169491525427</v>
      </c>
    </row>
    <row r="176" spans="2:18">
      <c r="B176" s="71"/>
      <c r="C176" s="71"/>
      <c r="D176" s="71"/>
      <c r="E176" s="71"/>
      <c r="F176" s="71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</row>
    <row r="177" spans="2:18">
      <c r="B177" s="71" t="s">
        <v>293</v>
      </c>
      <c r="C177" s="93">
        <f t="shared" ref="C177:Q177" si="61">C173+C174+C175</f>
        <v>200</v>
      </c>
      <c r="D177" s="93">
        <f t="shared" si="61"/>
        <v>4600</v>
      </c>
      <c r="E177" s="93">
        <f t="shared" si="61"/>
        <v>16340</v>
      </c>
      <c r="F177" s="93">
        <f t="shared" si="61"/>
        <v>18680</v>
      </c>
      <c r="G177" s="93">
        <f t="shared" si="61"/>
        <v>8040</v>
      </c>
      <c r="H177" s="93">
        <f t="shared" si="61"/>
        <v>15980</v>
      </c>
      <c r="I177" s="93">
        <f t="shared" si="61"/>
        <v>14860</v>
      </c>
      <c r="J177" s="93">
        <f t="shared" si="61"/>
        <v>21932</v>
      </c>
      <c r="K177" s="93">
        <f t="shared" si="61"/>
        <v>23810.904761904763</v>
      </c>
      <c r="L177" s="93">
        <f t="shared" si="61"/>
        <v>32352.483516483517</v>
      </c>
      <c r="M177" s="93">
        <f t="shared" si="61"/>
        <v>43414.38783269962</v>
      </c>
      <c r="N177" s="93">
        <f t="shared" si="61"/>
        <v>41648.074534161489</v>
      </c>
      <c r="O177" s="93">
        <f t="shared" si="61"/>
        <v>60694.8</v>
      </c>
      <c r="P177" s="93">
        <f t="shared" si="61"/>
        <v>86080.083727211342</v>
      </c>
      <c r="Q177" s="93">
        <f t="shared" si="61"/>
        <v>144612.9696969697</v>
      </c>
      <c r="R177" s="93">
        <f>R173+R174+R175</f>
        <v>216738.16949152542</v>
      </c>
    </row>
    <row r="178" spans="2:18">
      <c r="B178" s="71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</row>
    <row r="179" spans="2:18">
      <c r="B179" s="18" t="s">
        <v>87</v>
      </c>
      <c r="C179" s="236">
        <f t="shared" ref="C179:Q179" si="62">C169+C171+C177</f>
        <v>11000</v>
      </c>
      <c r="D179" s="236">
        <f t="shared" si="62"/>
        <v>17000</v>
      </c>
      <c r="E179" s="236">
        <f t="shared" si="62"/>
        <v>31700</v>
      </c>
      <c r="F179" s="236">
        <f t="shared" si="62"/>
        <v>37400</v>
      </c>
      <c r="G179" s="236">
        <f t="shared" si="62"/>
        <v>26920</v>
      </c>
      <c r="H179" s="236">
        <f t="shared" si="62"/>
        <v>38620</v>
      </c>
      <c r="I179" s="236">
        <f t="shared" si="62"/>
        <v>39020</v>
      </c>
      <c r="J179" s="236">
        <f t="shared" si="62"/>
        <v>98780</v>
      </c>
      <c r="K179" s="236">
        <f t="shared" si="62"/>
        <v>105134.52380952382</v>
      </c>
      <c r="L179" s="236">
        <f t="shared" si="62"/>
        <v>126562.41758241758</v>
      </c>
      <c r="M179" s="236">
        <f t="shared" si="62"/>
        <v>157551.93916349811</v>
      </c>
      <c r="N179" s="236">
        <f t="shared" si="62"/>
        <v>171920.37267080744</v>
      </c>
      <c r="O179" s="236">
        <f t="shared" si="62"/>
        <v>210194</v>
      </c>
      <c r="P179" s="236">
        <f t="shared" si="62"/>
        <v>560160.41863605671</v>
      </c>
      <c r="Q179" s="236">
        <f t="shared" si="62"/>
        <v>646584.84848484851</v>
      </c>
      <c r="R179" s="236">
        <f>R169+R171+R177</f>
        <v>758410.84745762707</v>
      </c>
    </row>
    <row r="180" spans="2:18">
      <c r="B180" s="72"/>
      <c r="C180" s="72"/>
      <c r="D180" s="72"/>
      <c r="E180" s="72"/>
      <c r="F180" s="72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</row>
    <row r="183" spans="2:18" ht="10" customHeight="1">
      <c r="B183" s="86"/>
      <c r="C183" s="86"/>
      <c r="D183" s="86"/>
      <c r="E183" s="86"/>
    </row>
    <row r="184" spans="2:18" ht="19">
      <c r="B184" s="80" t="s">
        <v>323</v>
      </c>
      <c r="C184" s="83" t="str">
        <f>P94</f>
        <v>October</v>
      </c>
      <c r="D184" s="83" t="str">
        <f>Q94</f>
        <v>November</v>
      </c>
      <c r="E184" s="83" t="str">
        <f>R94</f>
        <v>December</v>
      </c>
    </row>
    <row r="185" spans="2:18" ht="10" customHeight="1">
      <c r="B185" s="72"/>
      <c r="C185" s="72"/>
      <c r="D185" s="72"/>
      <c r="E185" s="72"/>
    </row>
    <row r="186" spans="2:18" ht="10" customHeight="1">
      <c r="B186" s="86"/>
      <c r="C186" s="86"/>
      <c r="D186" s="86"/>
      <c r="E186" s="86"/>
    </row>
    <row r="187" spans="2:18">
      <c r="B187" s="355" t="s">
        <v>127</v>
      </c>
      <c r="C187" s="71">
        <f>P150</f>
        <v>62180.418636056718</v>
      </c>
      <c r="D187" s="71">
        <f>Q150</f>
        <v>81284.848484848495</v>
      </c>
      <c r="E187" s="71">
        <f>R150</f>
        <v>111050.84745762711</v>
      </c>
    </row>
    <row r="188" spans="2:18" ht="10" customHeight="1">
      <c r="B188" s="355"/>
      <c r="C188" s="71"/>
      <c r="D188" s="71"/>
      <c r="E188" s="71"/>
    </row>
    <row r="189" spans="2:18">
      <c r="B189" s="355" t="s">
        <v>153</v>
      </c>
      <c r="C189" s="71">
        <f>P151</f>
        <v>75000</v>
      </c>
      <c r="D189" s="71">
        <f>Q151</f>
        <v>112500</v>
      </c>
      <c r="E189" s="71">
        <f>R151</f>
        <v>150000</v>
      </c>
    </row>
    <row r="190" spans="2:18" ht="10" customHeight="1">
      <c r="B190" s="355"/>
      <c r="C190" s="71"/>
      <c r="D190" s="71"/>
      <c r="E190" s="71"/>
    </row>
    <row r="191" spans="2:18">
      <c r="B191" s="355" t="s">
        <v>154</v>
      </c>
      <c r="C191" s="71">
        <f>-P174</f>
        <v>-59240</v>
      </c>
      <c r="D191" s="71">
        <f>-Q174</f>
        <v>-85800</v>
      </c>
      <c r="E191" s="71">
        <f>-R174</f>
        <v>-118000</v>
      </c>
    </row>
    <row r="192" spans="2:18" ht="10" customHeight="1">
      <c r="B192" s="71"/>
      <c r="C192" s="72"/>
      <c r="D192" s="72"/>
      <c r="E192" s="72"/>
    </row>
    <row r="193" spans="2:5" ht="10" customHeight="1">
      <c r="B193" s="71"/>
      <c r="C193" s="71"/>
      <c r="D193" s="71"/>
      <c r="E193" s="71"/>
    </row>
    <row r="194" spans="2:5" ht="13" customHeight="1">
      <c r="B194" s="356" t="s">
        <v>382</v>
      </c>
      <c r="C194" s="74">
        <f>C187+C189+C191</f>
        <v>77940.418636056711</v>
      </c>
      <c r="D194" s="74">
        <f t="shared" ref="D194:E194" si="63">D187+D189+D191</f>
        <v>107984.84848484851</v>
      </c>
      <c r="E194" s="74">
        <f t="shared" si="63"/>
        <v>143050.84745762713</v>
      </c>
    </row>
    <row r="195" spans="2:5" ht="10" customHeight="1">
      <c r="B195" s="72"/>
      <c r="C195" s="72"/>
      <c r="D195" s="72"/>
      <c r="E195" s="72"/>
    </row>
    <row r="196" spans="2:5" ht="10" customHeight="1">
      <c r="B196" s="86"/>
      <c r="C196" s="235"/>
      <c r="D196" s="235"/>
      <c r="E196" s="235"/>
    </row>
    <row r="197" spans="2:5">
      <c r="B197" s="83" t="s">
        <v>305</v>
      </c>
      <c r="C197" s="93"/>
      <c r="D197" s="93"/>
      <c r="E197" s="93"/>
    </row>
    <row r="198" spans="2:5" ht="10" customHeight="1">
      <c r="B198" s="71"/>
      <c r="C198" s="93"/>
      <c r="D198" s="93"/>
      <c r="E198" s="93"/>
    </row>
    <row r="199" spans="2:5">
      <c r="B199" s="71" t="s">
        <v>306</v>
      </c>
      <c r="C199" s="93">
        <f>P152</f>
        <v>12000</v>
      </c>
      <c r="D199" s="93">
        <f>Q152</f>
        <v>9000</v>
      </c>
      <c r="E199" s="93">
        <f>R152</f>
        <v>6000</v>
      </c>
    </row>
    <row r="200" spans="2:5" ht="10" customHeight="1">
      <c r="B200" s="71"/>
      <c r="C200" s="93"/>
      <c r="D200" s="93"/>
      <c r="E200" s="93"/>
    </row>
    <row r="201" spans="2:5">
      <c r="B201" s="83" t="s">
        <v>309</v>
      </c>
      <c r="C201" s="93"/>
      <c r="D201" s="93"/>
      <c r="E201" s="93"/>
    </row>
    <row r="202" spans="2:5" ht="10" customHeight="1">
      <c r="B202" s="71"/>
      <c r="C202" s="93"/>
      <c r="D202" s="93"/>
      <c r="E202" s="93"/>
    </row>
    <row r="203" spans="2:5">
      <c r="B203" s="71" t="s">
        <v>135</v>
      </c>
      <c r="C203" s="93">
        <f>-P173</f>
        <v>0</v>
      </c>
      <c r="D203" s="93">
        <f>-Q173</f>
        <v>-20000</v>
      </c>
      <c r="E203" s="93">
        <f>-R173</f>
        <v>-40000</v>
      </c>
    </row>
    <row r="204" spans="2:5">
      <c r="B204" s="71" t="s">
        <v>145</v>
      </c>
      <c r="C204" s="93">
        <f>-P175</f>
        <v>-26840.083727211342</v>
      </c>
      <c r="D204" s="93">
        <f>-Q175</f>
        <v>-38812.969696969703</v>
      </c>
      <c r="E204" s="93">
        <f>-R175</f>
        <v>-58738.169491525427</v>
      </c>
    </row>
    <row r="205" spans="2:5" ht="10" customHeight="1">
      <c r="B205" s="71"/>
      <c r="C205" s="94"/>
      <c r="D205" s="94"/>
      <c r="E205" s="94"/>
    </row>
    <row r="206" spans="2:5" ht="10" customHeight="1">
      <c r="B206" s="71"/>
      <c r="C206" s="93"/>
      <c r="D206" s="93"/>
      <c r="E206" s="93"/>
    </row>
    <row r="207" spans="2:5">
      <c r="B207" s="74" t="s">
        <v>307</v>
      </c>
      <c r="C207" s="236">
        <f>C199+C203+C204</f>
        <v>-14840.083727211342</v>
      </c>
      <c r="D207" s="236">
        <f t="shared" ref="D207:E207" si="64">D199+D203+D204</f>
        <v>-49812.969696969703</v>
      </c>
      <c r="E207" s="236">
        <f t="shared" si="64"/>
        <v>-92738.169491525419</v>
      </c>
    </row>
    <row r="208" spans="2:5" ht="10" customHeight="1">
      <c r="B208" s="72"/>
      <c r="C208" s="94"/>
      <c r="D208" s="94"/>
      <c r="E208" s="94"/>
    </row>
    <row r="209" spans="2:18" ht="10" customHeight="1">
      <c r="B209" s="71"/>
      <c r="C209" s="93"/>
      <c r="D209" s="93"/>
      <c r="E209" s="93"/>
    </row>
    <row r="210" spans="2:18" ht="19">
      <c r="B210" s="80" t="s">
        <v>152</v>
      </c>
      <c r="C210" s="236">
        <f>C194+C207</f>
        <v>63100.334908845369</v>
      </c>
      <c r="D210" s="236">
        <f t="shared" ref="D210:E210" si="65">D194+D207</f>
        <v>58171.878787878806</v>
      </c>
      <c r="E210" s="236">
        <f t="shared" si="65"/>
        <v>50312.677966101706</v>
      </c>
    </row>
    <row r="211" spans="2:18" ht="10" customHeight="1">
      <c r="B211" s="72"/>
      <c r="C211" s="94"/>
      <c r="D211" s="94"/>
      <c r="E211" s="94"/>
    </row>
    <row r="213" spans="2:18" ht="10" customHeight="1">
      <c r="B213" s="86"/>
      <c r="C213" s="50"/>
      <c r="D213" s="50"/>
      <c r="E213" s="50"/>
    </row>
    <row r="214" spans="2:18" ht="19">
      <c r="B214" s="80" t="s">
        <v>371</v>
      </c>
      <c r="C214" s="83" t="str">
        <f>C184</f>
        <v>October</v>
      </c>
      <c r="D214" s="83" t="str">
        <f t="shared" ref="D214:E214" si="66">D184</f>
        <v>November</v>
      </c>
      <c r="E214" s="83" t="str">
        <f t="shared" si="66"/>
        <v>December</v>
      </c>
    </row>
    <row r="215" spans="2:18" ht="10" customHeight="1">
      <c r="B215" s="72"/>
      <c r="C215" s="53"/>
      <c r="D215" s="53"/>
      <c r="E215" s="53"/>
    </row>
    <row r="216" spans="2:18" ht="10" customHeight="1">
      <c r="B216" s="50"/>
      <c r="C216" s="50"/>
      <c r="D216" s="50"/>
      <c r="E216" s="50"/>
    </row>
    <row r="217" spans="2:18">
      <c r="B217" s="130" t="s">
        <v>61</v>
      </c>
      <c r="C217" s="71">
        <f>'October-2'!G102</f>
        <v>226080.33490884537</v>
      </c>
      <c r="D217" s="71">
        <f>'November-2'!G101</f>
        <v>253971.87878787881</v>
      </c>
      <c r="E217" s="71">
        <f>'December-2'!G101</f>
        <v>293672.67796610168</v>
      </c>
    </row>
    <row r="218" spans="2:18">
      <c r="B218" s="130" t="s">
        <v>380</v>
      </c>
      <c r="C218" s="71">
        <f>P171</f>
        <v>248000</v>
      </c>
      <c r="D218" s="71">
        <f>Q171</f>
        <v>248000</v>
      </c>
      <c r="E218" s="71">
        <f>R171</f>
        <v>248000</v>
      </c>
    </row>
    <row r="219" spans="2:18" ht="10" customHeight="1">
      <c r="B219" s="130"/>
      <c r="C219" s="130"/>
      <c r="D219" s="130"/>
      <c r="E219" s="130"/>
    </row>
    <row r="220" spans="2:18">
      <c r="B220" s="130" t="s">
        <v>372</v>
      </c>
      <c r="C220" s="71">
        <f>C217+C218</f>
        <v>474080.33490884537</v>
      </c>
      <c r="D220" s="71">
        <f t="shared" ref="D220:E220" si="67">D217+D218</f>
        <v>501971.87878787878</v>
      </c>
      <c r="E220" s="71">
        <f t="shared" si="67"/>
        <v>541672.67796610168</v>
      </c>
    </row>
    <row r="221" spans="2:18" ht="10" customHeight="1">
      <c r="B221" s="130"/>
      <c r="C221" s="130"/>
      <c r="D221" s="130"/>
      <c r="E221" s="130"/>
    </row>
    <row r="222" spans="2:18">
      <c r="B222" s="130" t="s">
        <v>373</v>
      </c>
      <c r="C222" s="71">
        <f>-P148</f>
        <v>-373000</v>
      </c>
      <c r="D222" s="71">
        <f>-Q148</f>
        <v>-374000</v>
      </c>
      <c r="E222" s="71">
        <f>-R148</f>
        <v>-378000</v>
      </c>
    </row>
    <row r="223" spans="2:18" ht="10" customHeight="1">
      <c r="B223" s="130"/>
      <c r="C223" s="130"/>
      <c r="D223" s="130"/>
      <c r="E223" s="130"/>
    </row>
    <row r="224" spans="2:18" s="358" customFormat="1">
      <c r="B224" s="361" t="s">
        <v>374</v>
      </c>
      <c r="C224" s="363">
        <f>C220+C222</f>
        <v>101080.33490884537</v>
      </c>
      <c r="D224" s="363">
        <f t="shared" ref="D224:E224" si="68">D220+D222</f>
        <v>127971.87878787878</v>
      </c>
      <c r="E224" s="363">
        <f t="shared" si="68"/>
        <v>163672.67796610168</v>
      </c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</row>
    <row r="225" spans="2:18" ht="10" customHeight="1">
      <c r="B225" s="130"/>
      <c r="C225" s="130"/>
      <c r="D225" s="130"/>
      <c r="E225" s="130"/>
    </row>
    <row r="226" spans="2:18">
      <c r="B226" s="130" t="s">
        <v>375</v>
      </c>
      <c r="C226" s="71">
        <f>-C210</f>
        <v>-63100.334908845369</v>
      </c>
      <c r="D226" s="71">
        <f t="shared" ref="D226:E226" si="69">-D210</f>
        <v>-58171.878787878806</v>
      </c>
      <c r="E226" s="71">
        <f t="shared" si="69"/>
        <v>-50312.677966101706</v>
      </c>
    </row>
    <row r="227" spans="2:18" ht="10" customHeight="1">
      <c r="B227" s="130"/>
      <c r="C227" s="130"/>
      <c r="D227" s="130"/>
      <c r="E227" s="130"/>
    </row>
    <row r="228" spans="2:18" s="234" customFormat="1">
      <c r="B228" s="316" t="s">
        <v>376</v>
      </c>
      <c r="C228" s="74">
        <f>C224+C226</f>
        <v>37980</v>
      </c>
      <c r="D228" s="74">
        <f t="shared" ref="D228:E228" si="70">D224+D226</f>
        <v>69799.999999999971</v>
      </c>
      <c r="E228" s="74">
        <f t="shared" si="70"/>
        <v>113359.99999999997</v>
      </c>
      <c r="G228" s="364"/>
      <c r="H228" s="364"/>
      <c r="I228" s="364"/>
      <c r="J228" s="364"/>
      <c r="K228" s="364"/>
      <c r="L228" s="364"/>
      <c r="M228" s="364"/>
      <c r="N228" s="364"/>
      <c r="O228" s="364"/>
      <c r="P228" s="364"/>
      <c r="Q228" s="364"/>
      <c r="R228" s="364"/>
    </row>
    <row r="229" spans="2:18" ht="10" customHeight="1">
      <c r="B229" s="130"/>
      <c r="C229" s="130"/>
      <c r="D229" s="130"/>
      <c r="E229" s="130"/>
    </row>
    <row r="230" spans="2:18">
      <c r="B230" s="130" t="s">
        <v>377</v>
      </c>
      <c r="C230" s="71">
        <f>P156</f>
        <v>37980</v>
      </c>
      <c r="D230" s="71">
        <f t="shared" ref="D230:E230" si="71">Q156</f>
        <v>69800</v>
      </c>
      <c r="E230" s="71">
        <f t="shared" si="71"/>
        <v>113360</v>
      </c>
    </row>
    <row r="231" spans="2:18" ht="10" customHeight="1">
      <c r="B231" s="53"/>
      <c r="C231" s="53"/>
      <c r="D231" s="53"/>
      <c r="E231" s="53"/>
    </row>
  </sheetData>
  <pageMargins left="0.7" right="0.7" top="0.75" bottom="0.75" header="0.3" footer="0.3"/>
  <ignoredErrors>
    <ignoredError sqref="R131:R134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9B6D-E7C7-D047-96B2-7F1277D9CCD4}">
  <dimension ref="B2:M48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2.6640625" style="1" customWidth="1"/>
    <col min="3" max="3" width="13.5" style="1" customWidth="1"/>
    <col min="4" max="4" width="21.33203125" style="1" customWidth="1"/>
    <col min="5" max="5" width="6.83203125" style="1" customWidth="1"/>
    <col min="6" max="6" width="5.83203125" style="2" customWidth="1"/>
    <col min="7" max="7" width="7.6640625" style="1" customWidth="1"/>
    <col min="8" max="8" width="6.83203125" style="1" customWidth="1"/>
    <col min="9" max="9" width="9.5" style="1" customWidth="1"/>
    <col min="10" max="10" width="6.5" style="1" customWidth="1"/>
    <col min="11" max="11" width="8.83203125" style="1" customWidth="1"/>
    <col min="12" max="12" width="6.664062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D4" s="1">
        <f>F4*H4+J4*L4</f>
        <v>11000</v>
      </c>
      <c r="F4" s="9">
        <v>200</v>
      </c>
      <c r="G4" s="2" t="s">
        <v>70</v>
      </c>
      <c r="H4" s="1">
        <f>PVB2C</f>
        <v>30</v>
      </c>
      <c r="I4" s="10" t="s">
        <v>71</v>
      </c>
      <c r="J4" s="9">
        <v>200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33">
        <f>-(F6*H6+J6*L6)</f>
        <v>-8000</v>
      </c>
      <c r="F6" s="326">
        <f>F4</f>
        <v>200</v>
      </c>
      <c r="G6" s="25" t="s">
        <v>70</v>
      </c>
      <c r="H6" s="33">
        <f>PAP</f>
        <v>20</v>
      </c>
      <c r="I6" s="8" t="s">
        <v>71</v>
      </c>
      <c r="J6" s="326">
        <f>J4</f>
        <v>200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D8" s="1">
        <f>D4+D6</f>
        <v>3000</v>
      </c>
    </row>
    <row r="10" spans="2:13">
      <c r="B10" s="1" t="s">
        <v>68</v>
      </c>
      <c r="D10" s="11">
        <f>-H10*MAN</f>
        <v>-1000</v>
      </c>
      <c r="F10" s="44" t="s">
        <v>41</v>
      </c>
      <c r="G10" s="17"/>
      <c r="H10" s="297">
        <v>0.5</v>
      </c>
    </row>
    <row r="12" spans="2:13">
      <c r="B12" s="1" t="s">
        <v>83</v>
      </c>
      <c r="D12" s="1">
        <f>D8+D10</f>
        <v>2000</v>
      </c>
    </row>
    <row r="15" spans="2:13" ht="19">
      <c r="B15" s="12" t="s">
        <v>72</v>
      </c>
    </row>
    <row r="16" spans="2:13">
      <c r="F16" s="14"/>
      <c r="G16" s="15"/>
      <c r="H16" s="15"/>
      <c r="I16" s="24" t="s">
        <v>89</v>
      </c>
      <c r="J16" s="15"/>
      <c r="K16" s="15"/>
      <c r="L16" s="17"/>
    </row>
    <row r="17" spans="2:12">
      <c r="B17" s="1" t="s">
        <v>73</v>
      </c>
      <c r="D17" s="20">
        <f>L17</f>
        <v>6000</v>
      </c>
      <c r="F17" s="5" t="s">
        <v>94</v>
      </c>
      <c r="H17" s="1">
        <v>0</v>
      </c>
      <c r="J17" s="1" t="s">
        <v>95</v>
      </c>
      <c r="L17" s="21">
        <f>H17+H18-L18</f>
        <v>6000</v>
      </c>
    </row>
    <row r="18" spans="2:12">
      <c r="B18" s="1" t="s">
        <v>1</v>
      </c>
      <c r="F18" s="13" t="s">
        <v>65</v>
      </c>
      <c r="G18" s="11"/>
      <c r="H18" s="11">
        <f>D4</f>
        <v>11000</v>
      </c>
      <c r="I18" s="11"/>
      <c r="J18" s="11" t="s">
        <v>90</v>
      </c>
      <c r="K18" s="11"/>
      <c r="L18" s="8">
        <f>J4*L4</f>
        <v>5000</v>
      </c>
    </row>
    <row r="19" spans="2:12">
      <c r="F19" s="14" t="s">
        <v>6</v>
      </c>
      <c r="G19" s="15"/>
      <c r="H19" s="15">
        <f>H17+H18</f>
        <v>11000</v>
      </c>
      <c r="I19" s="15"/>
      <c r="J19" s="16" t="s">
        <v>6</v>
      </c>
      <c r="K19" s="15"/>
      <c r="L19" s="17">
        <f>L17+L18</f>
        <v>11000</v>
      </c>
    </row>
    <row r="20" spans="2:12">
      <c r="F20" s="1"/>
    </row>
    <row r="21" spans="2:12">
      <c r="B21" s="1" t="s">
        <v>74</v>
      </c>
      <c r="F21" s="14"/>
      <c r="G21" s="15"/>
      <c r="H21" s="15"/>
      <c r="I21" s="24" t="s">
        <v>86</v>
      </c>
      <c r="J21" s="15"/>
      <c r="K21" s="15"/>
      <c r="L21" s="17"/>
    </row>
    <row r="22" spans="2:12">
      <c r="C22" s="1" t="s">
        <v>98</v>
      </c>
      <c r="D22" s="22">
        <f>-L22</f>
        <v>-4000</v>
      </c>
      <c r="F22" s="5" t="s">
        <v>94</v>
      </c>
      <c r="H22" s="1">
        <v>0</v>
      </c>
      <c r="J22" s="1" t="s">
        <v>96</v>
      </c>
      <c r="L22" s="23">
        <f>H22+H23-L23</f>
        <v>4000</v>
      </c>
    </row>
    <row r="23" spans="2:12">
      <c r="C23" s="1" t="s">
        <v>75</v>
      </c>
      <c r="D23" s="1">
        <f>D10</f>
        <v>-1000</v>
      </c>
      <c r="F23" s="129" t="s">
        <v>97</v>
      </c>
      <c r="G23" s="11"/>
      <c r="H23" s="11">
        <f>F4*H6+J4*L6</f>
        <v>8000</v>
      </c>
      <c r="I23" s="11"/>
      <c r="J23" s="11" t="s">
        <v>90</v>
      </c>
      <c r="K23" s="11"/>
      <c r="L23" s="8">
        <f>J26*H23</f>
        <v>4000</v>
      </c>
    </row>
    <row r="24" spans="2:12">
      <c r="F24" s="14" t="s">
        <v>6</v>
      </c>
      <c r="G24" s="15"/>
      <c r="H24" s="15">
        <f>H22+H23</f>
        <v>8000</v>
      </c>
      <c r="I24" s="15"/>
      <c r="J24" s="16" t="s">
        <v>6</v>
      </c>
      <c r="K24" s="15"/>
      <c r="L24" s="17">
        <f>L22+L23</f>
        <v>8000</v>
      </c>
    </row>
    <row r="25" spans="2:12">
      <c r="B25" s="1" t="s">
        <v>76</v>
      </c>
      <c r="D25" s="1">
        <f>SUM(D22:D23)</f>
        <v>-5000</v>
      </c>
    </row>
    <row r="26" spans="2:12">
      <c r="I26" s="29" t="s">
        <v>92</v>
      </c>
      <c r="J26" s="40">
        <v>0.5</v>
      </c>
      <c r="K26" s="351" t="s">
        <v>93</v>
      </c>
    </row>
    <row r="27" spans="2:12">
      <c r="B27" s="26" t="s">
        <v>77</v>
      </c>
      <c r="C27" s="26"/>
      <c r="D27" s="26">
        <f>D17+D25</f>
        <v>1000</v>
      </c>
    </row>
    <row r="29" spans="2:12">
      <c r="B29" s="1" t="s">
        <v>78</v>
      </c>
      <c r="D29" s="1">
        <f>'September-1'!C41</f>
        <v>11000</v>
      </c>
      <c r="F29"/>
      <c r="G29" t="s">
        <v>1</v>
      </c>
      <c r="H29"/>
      <c r="I29"/>
      <c r="J29"/>
      <c r="K29"/>
      <c r="L29"/>
    </row>
    <row r="30" spans="2:12">
      <c r="F30"/>
      <c r="G30"/>
      <c r="H30"/>
      <c r="I30"/>
      <c r="J30"/>
      <c r="K30"/>
      <c r="L30"/>
    </row>
    <row r="31" spans="2:12">
      <c r="B31" s="1" t="s">
        <v>79</v>
      </c>
      <c r="D31" s="27">
        <f>D27+D29</f>
        <v>12000</v>
      </c>
      <c r="F31"/>
      <c r="G31"/>
      <c r="H31"/>
      <c r="I31"/>
      <c r="J31"/>
      <c r="K31"/>
      <c r="L31"/>
    </row>
    <row r="32" spans="2:12">
      <c r="F32"/>
      <c r="G32"/>
      <c r="H32"/>
      <c r="I32"/>
      <c r="J32"/>
      <c r="K32"/>
      <c r="L32"/>
    </row>
    <row r="34" spans="2:12" ht="19">
      <c r="B34" s="12" t="s">
        <v>80</v>
      </c>
      <c r="D34" s="12"/>
    </row>
    <row r="36" spans="2:12" s="2" customFormat="1" ht="9" customHeight="1">
      <c r="B36" s="3"/>
      <c r="C36" s="4"/>
      <c r="D36" s="3"/>
      <c r="E36" s="4"/>
      <c r="G36" s="1"/>
      <c r="H36" s="1"/>
      <c r="I36" s="1"/>
      <c r="J36" s="1"/>
      <c r="K36" s="1"/>
      <c r="L36" s="1"/>
    </row>
    <row r="37" spans="2:12" s="2" customFormat="1">
      <c r="B37" s="5" t="s">
        <v>60</v>
      </c>
      <c r="C37" s="6"/>
      <c r="D37" s="5" t="s">
        <v>84</v>
      </c>
      <c r="E37" s="6"/>
      <c r="G37" s="1"/>
      <c r="H37" s="1"/>
      <c r="I37" s="1"/>
      <c r="J37" s="1"/>
      <c r="K37" s="1"/>
      <c r="L37" s="1"/>
    </row>
    <row r="38" spans="2:12" s="2" customFormat="1" ht="8" customHeight="1">
      <c r="B38" s="7"/>
      <c r="C38" s="8"/>
      <c r="D38" s="7"/>
      <c r="E38" s="8"/>
      <c r="G38" s="1"/>
      <c r="H38" s="1"/>
      <c r="I38" s="1"/>
      <c r="J38" s="1"/>
      <c r="K38" s="1"/>
      <c r="L38" s="1"/>
    </row>
    <row r="39" spans="2:12" s="2" customFormat="1">
      <c r="B39" s="3"/>
      <c r="C39" s="4"/>
      <c r="D39" s="3"/>
      <c r="E39" s="4"/>
      <c r="F39" s="115"/>
      <c r="G39" s="116" t="s">
        <v>90</v>
      </c>
      <c r="H39" s="48"/>
      <c r="I39" s="4"/>
      <c r="J39" s="1"/>
      <c r="K39" s="1"/>
      <c r="L39" s="1"/>
    </row>
    <row r="40" spans="2:12" s="2" customFormat="1">
      <c r="B40" s="9"/>
      <c r="C40" s="10"/>
      <c r="D40" s="9" t="s">
        <v>62</v>
      </c>
      <c r="E40" s="10">
        <f>NA*PAR</f>
        <v>10000</v>
      </c>
      <c r="F40" s="5"/>
      <c r="G40" s="1" t="s">
        <v>91</v>
      </c>
      <c r="H40" s="1"/>
      <c r="I40" s="10"/>
      <c r="J40" s="1"/>
      <c r="K40" s="1"/>
      <c r="L40" s="1"/>
    </row>
    <row r="41" spans="2:12" s="2" customFormat="1" ht="21">
      <c r="B41" s="9"/>
      <c r="C41" s="10"/>
      <c r="D41" s="9" t="s">
        <v>85</v>
      </c>
      <c r="E41" s="8">
        <f>'September-1'!E39+'October-1'!D12</f>
        <v>3000</v>
      </c>
      <c r="F41" s="322" t="s">
        <v>7</v>
      </c>
      <c r="G41" s="11">
        <f>'September-1'!D12</f>
        <v>1000</v>
      </c>
      <c r="H41" s="25" t="s">
        <v>8</v>
      </c>
      <c r="I41" s="323">
        <f>D12</f>
        <v>2000</v>
      </c>
      <c r="J41" s="1"/>
      <c r="K41" s="1"/>
      <c r="L41" s="1"/>
    </row>
    <row r="42" spans="2:12" s="2" customFormat="1">
      <c r="B42" s="9"/>
      <c r="C42" s="10"/>
      <c r="D42" s="9"/>
      <c r="E42" s="10"/>
      <c r="G42" s="1"/>
      <c r="H42" s="1"/>
      <c r="I42" s="1"/>
      <c r="J42" s="1"/>
      <c r="K42" s="1"/>
      <c r="L42" s="1"/>
    </row>
    <row r="43" spans="2:12" s="2" customFormat="1">
      <c r="B43" s="9" t="s">
        <v>89</v>
      </c>
      <c r="C43" s="10">
        <f>L18</f>
        <v>5000</v>
      </c>
      <c r="D43" s="9" t="s">
        <v>82</v>
      </c>
      <c r="E43" s="10">
        <f>E40+E41</f>
        <v>13000</v>
      </c>
      <c r="G43" s="1"/>
      <c r="H43" s="1"/>
      <c r="I43" s="1"/>
      <c r="J43" s="1"/>
      <c r="K43" s="1"/>
      <c r="L43" s="1"/>
    </row>
    <row r="44" spans="2:12" s="2" customFormat="1">
      <c r="B44" s="9"/>
      <c r="C44" s="10"/>
      <c r="D44" s="9"/>
      <c r="E44" s="10"/>
      <c r="G44" s="1"/>
      <c r="H44" s="1"/>
      <c r="I44" s="1"/>
      <c r="J44" s="1"/>
      <c r="K44" s="1"/>
      <c r="L44" s="1"/>
    </row>
    <row r="45" spans="2:12" s="2" customFormat="1">
      <c r="B45" s="9" t="s">
        <v>63</v>
      </c>
      <c r="C45" s="28">
        <f>'October-1'!D31</f>
        <v>12000</v>
      </c>
      <c r="D45" s="9" t="s">
        <v>86</v>
      </c>
      <c r="E45" s="10">
        <f>L23</f>
        <v>4000</v>
      </c>
      <c r="G45" s="1"/>
      <c r="H45" s="1"/>
      <c r="I45" s="1"/>
      <c r="J45" s="1"/>
      <c r="K45" s="1"/>
      <c r="L45" s="1"/>
    </row>
    <row r="46" spans="2:12" s="2" customFormat="1">
      <c r="B46" s="9"/>
      <c r="C46" s="10"/>
      <c r="D46" s="9"/>
      <c r="E46" s="10"/>
      <c r="G46" s="1"/>
      <c r="H46" s="1"/>
      <c r="I46" s="1"/>
      <c r="J46" s="1"/>
      <c r="K46" s="1"/>
      <c r="L46" s="1"/>
    </row>
    <row r="47" spans="2:12" s="2" customFormat="1">
      <c r="B47" s="18" t="s">
        <v>88</v>
      </c>
      <c r="C47" s="19">
        <f>C43+C45</f>
        <v>17000</v>
      </c>
      <c r="D47" s="18" t="s">
        <v>87</v>
      </c>
      <c r="E47" s="19">
        <f>E43+E45</f>
        <v>17000</v>
      </c>
      <c r="G47" s="1"/>
      <c r="H47" s="1"/>
      <c r="I47" s="1"/>
      <c r="J47" s="1"/>
      <c r="K47" s="1"/>
      <c r="L47" s="1"/>
    </row>
    <row r="48" spans="2:12" s="2" customFormat="1">
      <c r="B48" s="7"/>
      <c r="C48" s="8"/>
      <c r="D48" s="7"/>
      <c r="E48" s="8"/>
      <c r="G48" s="1"/>
      <c r="H48" s="1"/>
      <c r="I48" s="1"/>
      <c r="J48" s="1"/>
      <c r="K48" s="1"/>
      <c r="L4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D3FA-F580-9049-9F87-84104C959FF9}">
  <dimension ref="B2:M59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2.6640625" style="1" customWidth="1"/>
    <col min="3" max="3" width="14.83203125" style="1" customWidth="1"/>
    <col min="4" max="4" width="21.33203125" style="1" customWidth="1"/>
    <col min="5" max="5" width="6.83203125" style="1" customWidth="1"/>
    <col min="6" max="6" width="9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D4" s="1">
        <f>F4*H4+J4*L4</f>
        <v>27000</v>
      </c>
      <c r="F4" s="9">
        <v>400</v>
      </c>
      <c r="G4" s="2" t="s">
        <v>70</v>
      </c>
      <c r="H4" s="1">
        <f>PVB2C</f>
        <v>30</v>
      </c>
      <c r="I4" s="10" t="s">
        <v>71</v>
      </c>
      <c r="J4" s="9">
        <v>600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33">
        <f>-(F6*H6+J6*L6)</f>
        <v>-20000</v>
      </c>
      <c r="F6" s="326">
        <f>F4</f>
        <v>400</v>
      </c>
      <c r="G6" s="25" t="s">
        <v>70</v>
      </c>
      <c r="H6" s="33">
        <f>PAP</f>
        <v>20</v>
      </c>
      <c r="I6" s="8" t="s">
        <v>71</v>
      </c>
      <c r="J6" s="326">
        <f>J4</f>
        <v>600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D8" s="1">
        <f>D4+D6</f>
        <v>7000</v>
      </c>
    </row>
    <row r="10" spans="2:13">
      <c r="B10" s="1" t="s">
        <v>99</v>
      </c>
      <c r="D10" s="1">
        <f>-MAN*H10</f>
        <v>-2000</v>
      </c>
      <c r="F10" s="44" t="s">
        <v>41</v>
      </c>
      <c r="G10" s="17"/>
      <c r="H10" s="298">
        <v>1</v>
      </c>
    </row>
    <row r="11" spans="2:13">
      <c r="B11" s="1" t="s">
        <v>100</v>
      </c>
      <c r="D11" s="11">
        <f>-MKT*H11</f>
        <v>-1300</v>
      </c>
      <c r="F11" s="44" t="s">
        <v>65</v>
      </c>
      <c r="G11" s="17"/>
      <c r="H11" s="298">
        <v>1</v>
      </c>
    </row>
    <row r="13" spans="2:13">
      <c r="B13" s="1" t="s">
        <v>101</v>
      </c>
      <c r="D13" s="1">
        <f>D8+D11+D10</f>
        <v>3700</v>
      </c>
    </row>
    <row r="15" spans="2:13">
      <c r="F15" s="14"/>
      <c r="G15" s="15"/>
      <c r="H15" s="15"/>
      <c r="I15" s="24" t="s">
        <v>103</v>
      </c>
      <c r="J15" s="15"/>
      <c r="K15" s="15"/>
      <c r="L15" s="17"/>
    </row>
    <row r="16" spans="2:13">
      <c r="F16" s="5" t="s">
        <v>94</v>
      </c>
      <c r="H16" s="1">
        <v>0</v>
      </c>
      <c r="J16" s="1" t="s">
        <v>102</v>
      </c>
      <c r="L16" s="10">
        <f>F6+J6</f>
        <v>1000</v>
      </c>
    </row>
    <row r="17" spans="2:12">
      <c r="F17" s="13" t="s">
        <v>97</v>
      </c>
      <c r="G17" s="11"/>
      <c r="H17" s="11">
        <v>1500</v>
      </c>
      <c r="I17" s="11"/>
      <c r="J17" s="11" t="s">
        <v>90</v>
      </c>
      <c r="K17" s="11"/>
      <c r="L17" s="8">
        <f>H18-L16</f>
        <v>500</v>
      </c>
    </row>
    <row r="18" spans="2:12">
      <c r="F18" s="14" t="s">
        <v>6</v>
      </c>
      <c r="G18" s="15"/>
      <c r="H18" s="15">
        <f>H16+H17</f>
        <v>1500</v>
      </c>
      <c r="I18" s="15"/>
      <c r="J18" s="16" t="s">
        <v>6</v>
      </c>
      <c r="K18" s="15"/>
      <c r="L18" s="17">
        <f>L16+L17</f>
        <v>1500</v>
      </c>
    </row>
    <row r="19" spans="2:12">
      <c r="F19" s="1"/>
    </row>
    <row r="20" spans="2:12">
      <c r="F20" s="14"/>
      <c r="G20" s="15"/>
      <c r="H20" s="15"/>
      <c r="I20" s="24" t="s">
        <v>104</v>
      </c>
      <c r="J20" s="15"/>
      <c r="K20" s="15"/>
      <c r="L20" s="17"/>
    </row>
    <row r="21" spans="2:12">
      <c r="F21" s="5" t="s">
        <v>94</v>
      </c>
      <c r="H21" s="1">
        <v>0</v>
      </c>
      <c r="J21" s="1" t="s">
        <v>106</v>
      </c>
      <c r="L21" s="32">
        <f>L16*H6</f>
        <v>20000</v>
      </c>
    </row>
    <row r="22" spans="2:12">
      <c r="F22" s="13" t="s">
        <v>105</v>
      </c>
      <c r="G22" s="11"/>
      <c r="H22" s="34">
        <f>H17*H6</f>
        <v>30000</v>
      </c>
      <c r="I22" s="11"/>
      <c r="J22" s="11" t="s">
        <v>90</v>
      </c>
      <c r="K22" s="11"/>
      <c r="L22" s="8">
        <f>H23-L21</f>
        <v>10000</v>
      </c>
    </row>
    <row r="23" spans="2:12">
      <c r="F23" s="14" t="s">
        <v>6</v>
      </c>
      <c r="G23" s="15"/>
      <c r="H23" s="15">
        <f>H21+H22</f>
        <v>30000</v>
      </c>
      <c r="I23" s="15"/>
      <c r="J23" s="16" t="s">
        <v>6</v>
      </c>
      <c r="K23" s="15"/>
      <c r="L23" s="17">
        <f>L21+L22</f>
        <v>30000</v>
      </c>
    </row>
    <row r="24" spans="2:12">
      <c r="J24" s="2"/>
    </row>
    <row r="25" spans="2:12" ht="19">
      <c r="B25" s="12" t="s">
        <v>72</v>
      </c>
    </row>
    <row r="26" spans="2:12">
      <c r="F26" s="14"/>
      <c r="G26" s="15"/>
      <c r="H26" s="15"/>
      <c r="I26" s="24" t="s">
        <v>89</v>
      </c>
      <c r="J26" s="15"/>
      <c r="K26" s="15"/>
      <c r="L26" s="17"/>
    </row>
    <row r="27" spans="2:12">
      <c r="B27" s="1" t="s">
        <v>73</v>
      </c>
      <c r="D27" s="20">
        <f>L27</f>
        <v>17000</v>
      </c>
      <c r="F27" s="5" t="s">
        <v>94</v>
      </c>
      <c r="H27" s="1">
        <f>'October-1'!L18</f>
        <v>5000</v>
      </c>
      <c r="J27" s="1" t="s">
        <v>95</v>
      </c>
      <c r="L27" s="21">
        <f>H27+H28-L28</f>
        <v>17000</v>
      </c>
    </row>
    <row r="28" spans="2:12">
      <c r="B28" s="1" t="s">
        <v>1</v>
      </c>
      <c r="F28" s="13" t="s">
        <v>65</v>
      </c>
      <c r="G28" s="11"/>
      <c r="H28" s="11">
        <f>D4</f>
        <v>27000</v>
      </c>
      <c r="I28" s="11"/>
      <c r="J28" s="11" t="s">
        <v>90</v>
      </c>
      <c r="K28" s="11"/>
      <c r="L28" s="8">
        <f>J4*L4</f>
        <v>15000</v>
      </c>
    </row>
    <row r="29" spans="2:12">
      <c r="F29" s="14" t="s">
        <v>6</v>
      </c>
      <c r="G29" s="15"/>
      <c r="H29" s="15">
        <f>H27+H28</f>
        <v>32000</v>
      </c>
      <c r="I29" s="15"/>
      <c r="J29" s="16" t="s">
        <v>6</v>
      </c>
      <c r="K29" s="15"/>
      <c r="L29" s="17">
        <f>L27+L28</f>
        <v>32000</v>
      </c>
    </row>
    <row r="31" spans="2:12">
      <c r="B31" s="1" t="s">
        <v>74</v>
      </c>
      <c r="F31" s="14"/>
      <c r="G31" s="15"/>
      <c r="H31" s="15"/>
      <c r="I31" s="24" t="s">
        <v>86</v>
      </c>
      <c r="J31" s="15"/>
      <c r="K31" s="15"/>
      <c r="L31" s="17"/>
    </row>
    <row r="32" spans="2:12">
      <c r="C32" s="1" t="s">
        <v>98</v>
      </c>
      <c r="D32" s="22">
        <f>-L32</f>
        <v>-19000</v>
      </c>
      <c r="F32" s="5" t="s">
        <v>94</v>
      </c>
      <c r="H32" s="1">
        <f>'October-1'!L23</f>
        <v>4000</v>
      </c>
      <c r="J32" s="1" t="s">
        <v>96</v>
      </c>
      <c r="L32" s="23">
        <f>H32+H33-L33</f>
        <v>19000</v>
      </c>
    </row>
    <row r="33" spans="2:12">
      <c r="C33" s="1" t="s">
        <v>11</v>
      </c>
      <c r="D33" s="1">
        <f>D10</f>
        <v>-2000</v>
      </c>
      <c r="F33" s="13" t="s">
        <v>97</v>
      </c>
      <c r="G33" s="11"/>
      <c r="H33" s="34">
        <f>H22</f>
        <v>30000</v>
      </c>
      <c r="I33" s="11"/>
      <c r="J33" s="11" t="s">
        <v>90</v>
      </c>
      <c r="K33" s="11"/>
      <c r="L33" s="8">
        <f>J36*H33</f>
        <v>15000</v>
      </c>
    </row>
    <row r="34" spans="2:12">
      <c r="C34" s="1" t="s">
        <v>125</v>
      </c>
      <c r="D34" s="1">
        <f>D11</f>
        <v>-1300</v>
      </c>
      <c r="F34" s="14" t="s">
        <v>6</v>
      </c>
      <c r="G34" s="15"/>
      <c r="H34" s="15">
        <f>H32+H33</f>
        <v>34000</v>
      </c>
      <c r="I34" s="15"/>
      <c r="J34" s="16" t="s">
        <v>6</v>
      </c>
      <c r="K34" s="15"/>
      <c r="L34" s="17">
        <f>L32+L33</f>
        <v>34000</v>
      </c>
    </row>
    <row r="35" spans="2:12">
      <c r="F35" s="1"/>
    </row>
    <row r="36" spans="2:12">
      <c r="B36" s="1" t="s">
        <v>76</v>
      </c>
      <c r="D36" s="1">
        <f>SUM(D32:D34)</f>
        <v>-22300</v>
      </c>
      <c r="I36" s="29" t="s">
        <v>92</v>
      </c>
      <c r="J36" s="40">
        <v>0.5</v>
      </c>
      <c r="K36" s="351" t="s">
        <v>93</v>
      </c>
    </row>
    <row r="37" spans="2:12">
      <c r="F37"/>
      <c r="G37"/>
      <c r="H37"/>
      <c r="I37"/>
      <c r="J37"/>
      <c r="K37"/>
      <c r="L37"/>
    </row>
    <row r="38" spans="2:12">
      <c r="B38" s="26" t="s">
        <v>77</v>
      </c>
      <c r="C38" s="26"/>
      <c r="D38" s="26">
        <f>D27+D36</f>
        <v>-5300</v>
      </c>
      <c r="F38"/>
      <c r="G38"/>
      <c r="H38"/>
      <c r="I38"/>
      <c r="J38"/>
      <c r="K38"/>
      <c r="L38"/>
    </row>
    <row r="39" spans="2:12">
      <c r="F39"/>
      <c r="G39"/>
      <c r="H39"/>
      <c r="I39"/>
      <c r="J39"/>
      <c r="K39"/>
      <c r="L39"/>
    </row>
    <row r="40" spans="2:12">
      <c r="B40" s="1" t="s">
        <v>78</v>
      </c>
      <c r="D40" s="1">
        <f>'October-1'!C45</f>
        <v>12000</v>
      </c>
      <c r="F40"/>
      <c r="G40"/>
      <c r="H40"/>
      <c r="I40"/>
      <c r="J40"/>
      <c r="K40"/>
      <c r="L40"/>
    </row>
    <row r="42" spans="2:12">
      <c r="B42" s="1" t="s">
        <v>79</v>
      </c>
      <c r="D42" s="27">
        <f>D38+D40</f>
        <v>6700</v>
      </c>
    </row>
    <row r="44" spans="2:12" s="2" customFormat="1">
      <c r="B44" s="1"/>
      <c r="C44" s="1"/>
      <c r="D44" s="1"/>
      <c r="E44" s="1"/>
      <c r="G44" s="1"/>
      <c r="H44" s="1"/>
      <c r="I44" s="1"/>
      <c r="J44" s="1"/>
      <c r="K44" s="1"/>
      <c r="L44" s="1"/>
    </row>
    <row r="45" spans="2:12" s="2" customFormat="1" ht="19">
      <c r="B45" s="12" t="s">
        <v>80</v>
      </c>
      <c r="C45" s="1"/>
      <c r="D45" s="12"/>
      <c r="E45" s="1"/>
      <c r="G45" s="1"/>
      <c r="H45" s="1"/>
      <c r="I45" s="1"/>
      <c r="J45" s="1"/>
      <c r="K45" s="1"/>
      <c r="L45" s="1"/>
    </row>
    <row r="46" spans="2:12" s="2" customFormat="1">
      <c r="B46" s="1"/>
      <c r="C46" s="1"/>
      <c r="D46" s="1"/>
      <c r="E46" s="1"/>
      <c r="G46" s="1"/>
      <c r="H46" s="1"/>
      <c r="I46" s="1"/>
      <c r="J46" s="1"/>
      <c r="K46" s="1"/>
      <c r="L46" s="1"/>
    </row>
    <row r="47" spans="2:12" s="2" customFormat="1" ht="11" customHeight="1">
      <c r="B47" s="3"/>
      <c r="C47" s="4"/>
      <c r="D47" s="3"/>
      <c r="E47" s="4"/>
      <c r="G47" s="1"/>
      <c r="H47" s="1"/>
      <c r="I47" s="1"/>
      <c r="J47" s="1"/>
      <c r="K47" s="1"/>
      <c r="L47" s="1"/>
    </row>
    <row r="48" spans="2:12" s="2" customFormat="1">
      <c r="B48" s="5" t="s">
        <v>60</v>
      </c>
      <c r="C48" s="6"/>
      <c r="D48" s="5" t="s">
        <v>84</v>
      </c>
      <c r="E48" s="6"/>
      <c r="J48" s="1"/>
      <c r="K48" s="1"/>
      <c r="L48" s="1"/>
    </row>
    <row r="49" spans="2:12" s="2" customFormat="1" ht="9" customHeight="1">
      <c r="B49" s="7"/>
      <c r="C49" s="8"/>
      <c r="D49" s="7"/>
      <c r="E49" s="8"/>
      <c r="J49" s="1"/>
      <c r="K49" s="1"/>
      <c r="L49" s="1"/>
    </row>
    <row r="50" spans="2:12" s="2" customFormat="1">
      <c r="B50" s="3"/>
      <c r="C50" s="4"/>
      <c r="D50" s="3"/>
      <c r="E50" s="4"/>
      <c r="F50" s="115"/>
      <c r="G50" s="116" t="s">
        <v>4</v>
      </c>
      <c r="H50" s="48"/>
      <c r="I50" s="4"/>
      <c r="J50" s="1"/>
      <c r="K50" s="1"/>
      <c r="L50" s="1"/>
    </row>
    <row r="51" spans="2:12" s="2" customFormat="1">
      <c r="B51" s="9"/>
      <c r="C51" s="10"/>
      <c r="D51" s="9" t="s">
        <v>62</v>
      </c>
      <c r="E51" s="10">
        <f>NA*PAR</f>
        <v>10000</v>
      </c>
      <c r="F51" s="5"/>
      <c r="G51" s="1" t="s">
        <v>44</v>
      </c>
      <c r="H51" s="1"/>
      <c r="I51" s="10" t="s">
        <v>43</v>
      </c>
      <c r="J51" s="1"/>
      <c r="K51" s="1"/>
      <c r="L51" s="1"/>
    </row>
    <row r="52" spans="2:12" s="2" customFormat="1" ht="21">
      <c r="B52" s="9" t="s">
        <v>10</v>
      </c>
      <c r="C52" s="10">
        <f>L22</f>
        <v>10000</v>
      </c>
      <c r="D52" s="9" t="s">
        <v>85</v>
      </c>
      <c r="E52" s="8">
        <f>G52+I52</f>
        <v>6700</v>
      </c>
      <c r="F52" s="322" t="s">
        <v>7</v>
      </c>
      <c r="G52" s="11">
        <f>'October-1'!E41</f>
        <v>3000</v>
      </c>
      <c r="H52" s="25" t="s">
        <v>8</v>
      </c>
      <c r="I52" s="324">
        <f>D13</f>
        <v>3700</v>
      </c>
      <c r="J52" s="1"/>
      <c r="K52" s="1"/>
      <c r="L52" s="1"/>
    </row>
    <row r="53" spans="2:12" s="2" customFormat="1">
      <c r="B53" s="9"/>
      <c r="C53" s="10"/>
      <c r="D53" s="9"/>
      <c r="E53" s="10"/>
      <c r="G53" s="1"/>
      <c r="H53" s="1"/>
      <c r="I53" s="1"/>
      <c r="J53" s="1"/>
      <c r="K53" s="1"/>
      <c r="L53" s="1"/>
    </row>
    <row r="54" spans="2:12" s="2" customFormat="1">
      <c r="B54" s="9" t="s">
        <v>89</v>
      </c>
      <c r="C54" s="10">
        <f>L28</f>
        <v>15000</v>
      </c>
      <c r="D54" s="9" t="s">
        <v>82</v>
      </c>
      <c r="E54" s="10">
        <f>E51+E52</f>
        <v>16700</v>
      </c>
      <c r="G54" s="1"/>
      <c r="H54" s="1"/>
      <c r="I54" s="1"/>
      <c r="J54" s="1"/>
      <c r="K54" s="1"/>
      <c r="L54" s="1"/>
    </row>
    <row r="55" spans="2:12" s="2" customFormat="1">
      <c r="B55" s="9"/>
      <c r="C55" s="10"/>
      <c r="D55" s="9"/>
      <c r="E55" s="10"/>
      <c r="G55" s="1"/>
      <c r="H55" s="1"/>
      <c r="I55" s="1"/>
      <c r="J55" s="1"/>
      <c r="K55" s="1"/>
      <c r="L55" s="1"/>
    </row>
    <row r="56" spans="2:12" s="2" customFormat="1">
      <c r="B56" s="9" t="s">
        <v>63</v>
      </c>
      <c r="C56" s="28">
        <f>'November-1'!D42</f>
        <v>6700</v>
      </c>
      <c r="D56" s="9" t="s">
        <v>86</v>
      </c>
      <c r="E56" s="10">
        <f>L33</f>
        <v>15000</v>
      </c>
      <c r="G56" s="1"/>
      <c r="H56" s="1"/>
      <c r="I56" s="1"/>
      <c r="J56" s="1"/>
      <c r="K56" s="1"/>
      <c r="L56" s="1"/>
    </row>
    <row r="57" spans="2:12">
      <c r="B57" s="9"/>
      <c r="C57" s="10"/>
      <c r="D57" s="9"/>
      <c r="E57" s="10"/>
    </row>
    <row r="58" spans="2:12">
      <c r="B58" s="18" t="s">
        <v>88</v>
      </c>
      <c r="C58" s="19">
        <f>C54+C56+C52</f>
        <v>31700</v>
      </c>
      <c r="D58" s="18" t="s">
        <v>87</v>
      </c>
      <c r="E58" s="19">
        <f>E54+E56</f>
        <v>31700</v>
      </c>
    </row>
    <row r="59" spans="2:12">
      <c r="B59" s="7"/>
      <c r="C59" s="8"/>
      <c r="D59" s="7"/>
      <c r="E5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11D7-C6AA-AA45-9135-96604435044F}">
  <dimension ref="B2:M93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4.5" style="1" customWidth="1"/>
    <col min="3" max="3" width="18.1640625" style="1" customWidth="1"/>
    <col min="4" max="4" width="24.33203125" style="1" customWidth="1"/>
    <col min="5" max="5" width="7.33203125" style="1" customWidth="1"/>
    <col min="6" max="6" width="9.332031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138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D4" s="1">
        <f>F4*H4+J4*L4</f>
        <v>36000</v>
      </c>
      <c r="F4" s="9">
        <v>700</v>
      </c>
      <c r="G4" s="2" t="s">
        <v>70</v>
      </c>
      <c r="H4" s="1">
        <f>PVB2C</f>
        <v>30</v>
      </c>
      <c r="I4" s="10" t="s">
        <v>71</v>
      </c>
      <c r="J4" s="332">
        <v>600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33">
        <f>-(F6*H6+J6*L6)</f>
        <v>-26000</v>
      </c>
      <c r="F6" s="326">
        <f>F4</f>
        <v>700</v>
      </c>
      <c r="G6" s="25" t="s">
        <v>70</v>
      </c>
      <c r="H6" s="33">
        <f>PAP</f>
        <v>20</v>
      </c>
      <c r="I6" s="8" t="s">
        <v>71</v>
      </c>
      <c r="J6" s="326">
        <f>J4</f>
        <v>600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D8" s="1">
        <f>D4+D6</f>
        <v>10000</v>
      </c>
    </row>
    <row r="10" spans="2:13">
      <c r="B10" s="1" t="s">
        <v>99</v>
      </c>
      <c r="D10" s="1">
        <f>-MAN*H10</f>
        <v>-2000</v>
      </c>
      <c r="F10" s="44" t="s">
        <v>41</v>
      </c>
      <c r="G10" s="17"/>
      <c r="H10" s="298">
        <v>1</v>
      </c>
    </row>
    <row r="11" spans="2:13">
      <c r="B11" s="1" t="s">
        <v>100</v>
      </c>
      <c r="D11" s="11">
        <f>-MKT*H11</f>
        <v>-1300</v>
      </c>
      <c r="F11" s="44" t="s">
        <v>65</v>
      </c>
      <c r="G11" s="17"/>
      <c r="H11" s="298">
        <v>1</v>
      </c>
    </row>
    <row r="13" spans="2:13">
      <c r="B13" s="1" t="s">
        <v>109</v>
      </c>
      <c r="D13" s="1">
        <f>D8+D11+D10</f>
        <v>6700</v>
      </c>
      <c r="F13" s="14"/>
      <c r="G13" s="15"/>
      <c r="H13" s="15"/>
      <c r="I13" s="24" t="s">
        <v>103</v>
      </c>
      <c r="J13" s="15"/>
      <c r="K13" s="15"/>
      <c r="L13" s="17"/>
    </row>
    <row r="14" spans="2:13">
      <c r="F14" s="5" t="s">
        <v>94</v>
      </c>
      <c r="H14" s="1">
        <f>'November-1'!L17</f>
        <v>500</v>
      </c>
      <c r="J14" s="1" t="s">
        <v>102</v>
      </c>
      <c r="L14" s="10">
        <f>F6+J6</f>
        <v>1300</v>
      </c>
    </row>
    <row r="15" spans="2:13" ht="19">
      <c r="B15" s="12" t="s">
        <v>139</v>
      </c>
      <c r="D15" s="299" t="s">
        <v>143</v>
      </c>
      <c r="E15" s="300">
        <f>TIS</f>
        <v>0.2</v>
      </c>
      <c r="F15" s="13" t="s">
        <v>97</v>
      </c>
      <c r="G15" s="11"/>
      <c r="H15" s="11">
        <v>1400</v>
      </c>
      <c r="I15" s="11"/>
      <c r="J15" s="11" t="s">
        <v>90</v>
      </c>
      <c r="K15" s="11"/>
      <c r="L15" s="8">
        <f>H16-L14</f>
        <v>600</v>
      </c>
    </row>
    <row r="16" spans="2:13">
      <c r="F16" s="14" t="s">
        <v>6</v>
      </c>
      <c r="G16" s="15"/>
      <c r="H16" s="15">
        <f>H14+H15</f>
        <v>1900</v>
      </c>
      <c r="I16" s="15"/>
      <c r="J16" s="16" t="s">
        <v>6</v>
      </c>
      <c r="K16" s="15"/>
      <c r="L16" s="17">
        <f>L14+L15</f>
        <v>1900</v>
      </c>
    </row>
    <row r="17" spans="2:12">
      <c r="B17" s="1" t="s">
        <v>140</v>
      </c>
      <c r="D17" s="1">
        <f>'September-1'!D12+'October-1'!D12+'November-1'!D13+'December-1'!D13</f>
        <v>13400</v>
      </c>
      <c r="F17" s="1"/>
    </row>
    <row r="18" spans="2:12">
      <c r="F18" s="14"/>
      <c r="G18" s="15"/>
      <c r="H18" s="15"/>
      <c r="I18" s="24" t="s">
        <v>104</v>
      </c>
      <c r="J18" s="15"/>
      <c r="K18" s="15"/>
      <c r="L18" s="17"/>
    </row>
    <row r="19" spans="2:12">
      <c r="B19" s="1" t="s">
        <v>141</v>
      </c>
      <c r="C19" s="37" t="s">
        <v>136</v>
      </c>
      <c r="D19" s="1">
        <f>-D17*E15</f>
        <v>-2680</v>
      </c>
      <c r="F19" s="5" t="s">
        <v>94</v>
      </c>
      <c r="H19" s="1">
        <f>H14*H6</f>
        <v>10000</v>
      </c>
      <c r="J19" s="1" t="s">
        <v>106</v>
      </c>
      <c r="L19" s="32">
        <f>L14*H6</f>
        <v>26000</v>
      </c>
    </row>
    <row r="20" spans="2:12">
      <c r="F20" s="13" t="s">
        <v>105</v>
      </c>
      <c r="G20" s="11"/>
      <c r="H20" s="34">
        <f>H15*H6</f>
        <v>28000</v>
      </c>
      <c r="I20" s="11"/>
      <c r="J20" s="11" t="s">
        <v>90</v>
      </c>
      <c r="K20" s="11"/>
      <c r="L20" s="8">
        <f>H21-L19</f>
        <v>12000</v>
      </c>
    </row>
    <row r="21" spans="2:12">
      <c r="B21" s="1" t="s">
        <v>142</v>
      </c>
      <c r="D21" s="1">
        <f>D17+D19</f>
        <v>10720</v>
      </c>
      <c r="F21" s="14" t="s">
        <v>6</v>
      </c>
      <c r="G21" s="15"/>
      <c r="H21" s="15">
        <f>H19+H20</f>
        <v>38000</v>
      </c>
      <c r="I21" s="15"/>
      <c r="J21" s="16" t="s">
        <v>6</v>
      </c>
      <c r="K21" s="15"/>
      <c r="L21" s="17">
        <f>L19+L20</f>
        <v>38000</v>
      </c>
    </row>
    <row r="22" spans="2:12">
      <c r="J22" s="2"/>
    </row>
    <row r="23" spans="2:12">
      <c r="J23" s="2"/>
    </row>
    <row r="24" spans="2:12" ht="19">
      <c r="B24" s="12" t="s">
        <v>72</v>
      </c>
    </row>
    <row r="25" spans="2:12">
      <c r="F25" s="14"/>
      <c r="G25" s="15"/>
      <c r="H25" s="15"/>
      <c r="I25" s="24" t="s">
        <v>89</v>
      </c>
      <c r="J25" s="15"/>
      <c r="K25" s="15"/>
      <c r="L25" s="17"/>
    </row>
    <row r="26" spans="2:12">
      <c r="B26" s="1" t="s">
        <v>73</v>
      </c>
      <c r="D26" s="20">
        <f>L26</f>
        <v>36000</v>
      </c>
      <c r="F26" s="5" t="s">
        <v>94</v>
      </c>
      <c r="H26" s="1">
        <f>'November-1'!L28</f>
        <v>15000</v>
      </c>
      <c r="J26" s="1" t="s">
        <v>95</v>
      </c>
      <c r="L26" s="21">
        <f>H26+H27-L27</f>
        <v>36000</v>
      </c>
    </row>
    <row r="27" spans="2:12">
      <c r="B27" s="1" t="s">
        <v>1</v>
      </c>
      <c r="F27" s="13" t="s">
        <v>65</v>
      </c>
      <c r="G27" s="11"/>
      <c r="H27" s="11">
        <f>D4</f>
        <v>36000</v>
      </c>
      <c r="I27" s="11"/>
      <c r="J27" s="11" t="s">
        <v>90</v>
      </c>
      <c r="K27" s="11"/>
      <c r="L27" s="8">
        <f>J4*L4</f>
        <v>15000</v>
      </c>
    </row>
    <row r="28" spans="2:12">
      <c r="F28" s="14" t="s">
        <v>6</v>
      </c>
      <c r="G28" s="15"/>
      <c r="H28" s="15">
        <f>H26+H27</f>
        <v>51000</v>
      </c>
      <c r="I28" s="15"/>
      <c r="J28" s="16" t="s">
        <v>6</v>
      </c>
      <c r="K28" s="15"/>
      <c r="L28" s="17">
        <f>L26+L27</f>
        <v>51000</v>
      </c>
    </row>
    <row r="29" spans="2:12">
      <c r="F29" s="1"/>
    </row>
    <row r="30" spans="2:12">
      <c r="B30" s="1" t="s">
        <v>74</v>
      </c>
      <c r="F30" s="14"/>
      <c r="G30" s="15"/>
      <c r="H30" s="15"/>
      <c r="I30" s="24" t="s">
        <v>86</v>
      </c>
      <c r="J30" s="15"/>
      <c r="K30" s="15"/>
      <c r="L30" s="17"/>
    </row>
    <row r="31" spans="2:12">
      <c r="C31" s="1" t="s">
        <v>98</v>
      </c>
      <c r="D31" s="22">
        <f>-L31</f>
        <v>-29000</v>
      </c>
      <c r="F31" s="5" t="s">
        <v>94</v>
      </c>
      <c r="H31" s="1">
        <f>'November-1'!L33</f>
        <v>15000</v>
      </c>
      <c r="J31" s="1" t="s">
        <v>96</v>
      </c>
      <c r="L31" s="23">
        <f>H31+H32-L32</f>
        <v>29000</v>
      </c>
    </row>
    <row r="32" spans="2:12">
      <c r="C32" s="1" t="s">
        <v>11</v>
      </c>
      <c r="D32" s="1">
        <f>D10</f>
        <v>-2000</v>
      </c>
      <c r="F32" s="13" t="s">
        <v>97</v>
      </c>
      <c r="G32" s="11"/>
      <c r="H32" s="34">
        <f>H20</f>
        <v>28000</v>
      </c>
      <c r="I32" s="11"/>
      <c r="J32" s="11" t="s">
        <v>90</v>
      </c>
      <c r="K32" s="11"/>
      <c r="L32" s="8">
        <f>J35*H32</f>
        <v>14000</v>
      </c>
    </row>
    <row r="33" spans="2:12">
      <c r="C33" s="1" t="s">
        <v>125</v>
      </c>
      <c r="D33" s="1">
        <f>D11</f>
        <v>-1300</v>
      </c>
      <c r="F33" s="14" t="s">
        <v>6</v>
      </c>
      <c r="G33" s="15"/>
      <c r="H33" s="15">
        <f>H31+H32</f>
        <v>43000</v>
      </c>
      <c r="I33" s="15"/>
      <c r="J33" s="16" t="s">
        <v>6</v>
      </c>
      <c r="K33" s="15"/>
      <c r="L33" s="17">
        <f>L31+L32</f>
        <v>43000</v>
      </c>
    </row>
    <row r="34" spans="2:12">
      <c r="F34" s="1"/>
    </row>
    <row r="35" spans="2:12">
      <c r="B35" s="1" t="s">
        <v>76</v>
      </c>
      <c r="D35" s="1">
        <f>SUM(D31:D33)</f>
        <v>-32300</v>
      </c>
      <c r="I35" s="29" t="s">
        <v>92</v>
      </c>
      <c r="J35" s="40">
        <v>0.5</v>
      </c>
      <c r="K35" s="351" t="s">
        <v>93</v>
      </c>
    </row>
    <row r="37" spans="2:12">
      <c r="B37" s="26" t="s">
        <v>77</v>
      </c>
      <c r="C37" s="26"/>
      <c r="D37" s="26">
        <f>D26+D35</f>
        <v>3700</v>
      </c>
    </row>
    <row r="38" spans="2:12">
      <c r="F38"/>
      <c r="G38"/>
      <c r="H38"/>
      <c r="I38"/>
      <c r="J38"/>
      <c r="K38"/>
      <c r="L38"/>
    </row>
    <row r="39" spans="2:12">
      <c r="B39" s="1" t="s">
        <v>78</v>
      </c>
      <c r="D39" s="1">
        <f>'November-1'!C56</f>
        <v>6700</v>
      </c>
      <c r="F39"/>
      <c r="G39"/>
      <c r="H39"/>
      <c r="I39"/>
      <c r="J39"/>
      <c r="K39"/>
      <c r="L39"/>
    </row>
    <row r="40" spans="2:12">
      <c r="F40"/>
      <c r="G40"/>
      <c r="H40"/>
      <c r="I40"/>
      <c r="J40"/>
      <c r="K40"/>
      <c r="L40"/>
    </row>
    <row r="41" spans="2:12">
      <c r="B41" s="1" t="s">
        <v>79</v>
      </c>
      <c r="D41" s="27">
        <f>D37+D39</f>
        <v>10400</v>
      </c>
      <c r="F41"/>
      <c r="G41"/>
      <c r="H41"/>
      <c r="I41"/>
      <c r="J41"/>
      <c r="K41"/>
      <c r="L41"/>
    </row>
    <row r="42" spans="2:12"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5" spans="2:12" ht="19">
      <c r="B45" s="12" t="s">
        <v>129</v>
      </c>
      <c r="D45" s="35"/>
    </row>
    <row r="46" spans="2:12" ht="19">
      <c r="B46" s="12"/>
      <c r="D46" s="35"/>
    </row>
    <row r="47" spans="2:12">
      <c r="B47" s="1" t="s">
        <v>130</v>
      </c>
      <c r="C47" s="1">
        <f>D21</f>
        <v>10720</v>
      </c>
      <c r="D47" s="35"/>
    </row>
    <row r="49" spans="2:12">
      <c r="B49" s="1" t="s">
        <v>131</v>
      </c>
      <c r="C49" s="38">
        <v>2000</v>
      </c>
      <c r="D49" s="37" t="s">
        <v>136</v>
      </c>
    </row>
    <row r="51" spans="2:12">
      <c r="B51" s="1" t="s">
        <v>132</v>
      </c>
      <c r="C51" s="1">
        <f>C49/NA</f>
        <v>2</v>
      </c>
      <c r="D51" s="1" t="s">
        <v>137</v>
      </c>
    </row>
    <row r="53" spans="2:12">
      <c r="B53" s="1" t="s">
        <v>133</v>
      </c>
      <c r="C53" s="330">
        <f>C49/C47</f>
        <v>0.18656716417910449</v>
      </c>
    </row>
    <row r="55" spans="2:12">
      <c r="B55" s="1" t="s">
        <v>134</v>
      </c>
      <c r="C55" s="42">
        <f>D21-C49</f>
        <v>8720</v>
      </c>
      <c r="F55" s="2" t="s">
        <v>1</v>
      </c>
    </row>
    <row r="58" spans="2:12" ht="19">
      <c r="B58" s="12" t="s">
        <v>126</v>
      </c>
      <c r="D58" s="12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60</v>
      </c>
      <c r="C61" s="6"/>
      <c r="D61" s="5" t="s">
        <v>84</v>
      </c>
      <c r="E61" s="6"/>
      <c r="G61" s="1"/>
      <c r="H61" s="1"/>
      <c r="I61" s="1"/>
      <c r="J61" s="1"/>
      <c r="K61" s="1"/>
      <c r="L61" s="1"/>
    </row>
    <row r="62" spans="2:12" s="2" customFormat="1" ht="8" customHeight="1">
      <c r="B62" s="7"/>
      <c r="C62" s="8"/>
      <c r="D62" s="7"/>
      <c r="E62" s="8"/>
      <c r="G62" s="1"/>
      <c r="H62" s="1"/>
      <c r="I62" s="1"/>
      <c r="J62" s="1"/>
      <c r="K62" s="1"/>
      <c r="L62" s="1"/>
    </row>
    <row r="63" spans="2:12" s="2" customFormat="1">
      <c r="B63" s="3"/>
      <c r="C63" s="4"/>
      <c r="D63" s="3"/>
      <c r="E63" s="4"/>
      <c r="F63"/>
      <c r="G63"/>
      <c r="H63"/>
      <c r="I63"/>
      <c r="J63" s="1"/>
      <c r="K63" s="1"/>
      <c r="L63" s="1"/>
    </row>
    <row r="64" spans="2:12" s="2" customFormat="1">
      <c r="B64" s="9"/>
      <c r="C64" s="10"/>
      <c r="D64" s="9" t="s">
        <v>62</v>
      </c>
      <c r="E64" s="10">
        <f>NA*PAR</f>
        <v>10000</v>
      </c>
      <c r="F64"/>
      <c r="G64"/>
      <c r="H64"/>
      <c r="I64"/>
      <c r="J64" s="1"/>
      <c r="K64" s="1"/>
      <c r="L64" s="1"/>
    </row>
    <row r="65" spans="2:12" s="2" customFormat="1">
      <c r="B65" s="9" t="s">
        <v>127</v>
      </c>
      <c r="C65" s="10">
        <f>L20</f>
        <v>12000</v>
      </c>
      <c r="D65" s="9" t="s">
        <v>85</v>
      </c>
      <c r="E65" s="43">
        <f>C55</f>
        <v>8720</v>
      </c>
      <c r="F65"/>
      <c r="G65"/>
      <c r="H65"/>
      <c r="I65"/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128</v>
      </c>
      <c r="C67" s="10">
        <f>L27</f>
        <v>15000</v>
      </c>
      <c r="D67" s="9" t="s">
        <v>82</v>
      </c>
      <c r="E67" s="10">
        <f>E64+E65</f>
        <v>18720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135</v>
      </c>
      <c r="E69" s="41">
        <f>C49</f>
        <v>2000</v>
      </c>
      <c r="G69" s="1"/>
      <c r="H69" s="1"/>
      <c r="I69" s="1"/>
      <c r="J69" s="1"/>
      <c r="K69" s="1"/>
      <c r="L69" s="1"/>
    </row>
    <row r="70" spans="2:12" s="2" customFormat="1">
      <c r="B70" s="9" t="s">
        <v>63</v>
      </c>
      <c r="C70" s="28">
        <f>'December-1'!D41</f>
        <v>10400</v>
      </c>
      <c r="D70" s="9" t="s">
        <v>86</v>
      </c>
      <c r="E70" s="10">
        <f>L32</f>
        <v>14000</v>
      </c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145</v>
      </c>
      <c r="E71" s="10">
        <f>-D19</f>
        <v>2680</v>
      </c>
      <c r="G71" s="1"/>
      <c r="H71" s="1"/>
      <c r="I71" s="1"/>
      <c r="J71" s="1"/>
      <c r="K71" s="1"/>
      <c r="L71" s="1"/>
    </row>
    <row r="72" spans="2:12" s="2" customFormat="1">
      <c r="B72" s="9"/>
      <c r="C72" s="10"/>
      <c r="D72" s="9"/>
      <c r="E72" s="10"/>
      <c r="G72" s="1"/>
      <c r="H72" s="1"/>
      <c r="I72" s="1"/>
      <c r="J72" s="1"/>
      <c r="K72" s="1"/>
      <c r="L72" s="1"/>
    </row>
    <row r="73" spans="2:12" s="2" customFormat="1">
      <c r="B73" s="18" t="s">
        <v>88</v>
      </c>
      <c r="C73" s="19">
        <f>C67+C70+C65</f>
        <v>37400</v>
      </c>
      <c r="D73" s="18" t="s">
        <v>87</v>
      </c>
      <c r="E73" s="19">
        <f>E67+E70+E71+E69</f>
        <v>37400</v>
      </c>
      <c r="G73" s="1"/>
      <c r="H73" s="1"/>
      <c r="I73" s="1"/>
      <c r="J73" s="1"/>
      <c r="K73" s="1"/>
      <c r="L73" s="1"/>
    </row>
    <row r="74" spans="2:12">
      <c r="B74" s="7"/>
      <c r="C74" s="8"/>
      <c r="D74" s="7"/>
      <c r="E74" s="8"/>
    </row>
    <row r="76" spans="2:12">
      <c r="B76" s="3"/>
      <c r="C76" s="48"/>
      <c r="D76" s="48"/>
      <c r="E76" s="4"/>
    </row>
    <row r="77" spans="2:12" ht="19">
      <c r="B77" s="49" t="s">
        <v>146</v>
      </c>
      <c r="E77" s="10"/>
    </row>
    <row r="78" spans="2:12">
      <c r="B78" s="9"/>
      <c r="E78" s="10"/>
    </row>
    <row r="79" spans="2:12">
      <c r="B79" s="9" t="s">
        <v>65</v>
      </c>
      <c r="D79" s="2">
        <f>'September-1'!D4+'October-1'!D4+'November-1'!D4+'December-1'!D4</f>
        <v>80000</v>
      </c>
      <c r="E79" s="10"/>
    </row>
    <row r="80" spans="2:12">
      <c r="B80" s="9"/>
      <c r="D80" s="2"/>
      <c r="E80" s="10"/>
    </row>
    <row r="81" spans="2:5">
      <c r="B81" s="9" t="s">
        <v>66</v>
      </c>
      <c r="D81" s="331">
        <f>'September-1'!D6+'October-1'!D6+'November-1'!D6+'December-1'!D6</f>
        <v>-58000</v>
      </c>
      <c r="E81" s="10"/>
    </row>
    <row r="82" spans="2:5">
      <c r="B82" s="9"/>
      <c r="D82" s="2"/>
      <c r="E82" s="10"/>
    </row>
    <row r="83" spans="2:5">
      <c r="B83" s="9" t="s">
        <v>67</v>
      </c>
      <c r="D83" s="2">
        <f>D79+D81</f>
        <v>22000</v>
      </c>
      <c r="E83" s="10"/>
    </row>
    <row r="84" spans="2:5">
      <c r="B84" s="9"/>
      <c r="D84" s="2"/>
      <c r="E84" s="10"/>
    </row>
    <row r="85" spans="2:5">
      <c r="B85" s="9" t="s">
        <v>99</v>
      </c>
      <c r="D85" s="2">
        <f>'September-1'!D10+'October-1'!D10+'November-1'!D10+'December-1'!D10</f>
        <v>-6000</v>
      </c>
      <c r="E85" s="10"/>
    </row>
    <row r="86" spans="2:5">
      <c r="B86" s="9" t="s">
        <v>100</v>
      </c>
      <c r="D86" s="25">
        <f>'November-1'!D11+'December-1'!D11</f>
        <v>-2600</v>
      </c>
      <c r="E86" s="10"/>
    </row>
    <row r="87" spans="2:5">
      <c r="B87" s="9"/>
      <c r="D87" s="2"/>
      <c r="E87" s="10"/>
    </row>
    <row r="88" spans="2:5">
      <c r="B88" s="9" t="s">
        <v>144</v>
      </c>
      <c r="D88" s="2">
        <f>D83+D86+D85</f>
        <v>13400</v>
      </c>
      <c r="E88" s="10"/>
    </row>
    <row r="89" spans="2:5">
      <c r="B89" s="9"/>
      <c r="D89" s="2"/>
      <c r="E89" s="10"/>
    </row>
    <row r="90" spans="2:5">
      <c r="B90" s="9" t="s">
        <v>141</v>
      </c>
      <c r="D90" s="25">
        <f>D19</f>
        <v>-2680</v>
      </c>
      <c r="E90" s="10"/>
    </row>
    <row r="91" spans="2:5">
      <c r="B91" s="9"/>
      <c r="D91" s="2"/>
      <c r="E91" s="10"/>
    </row>
    <row r="92" spans="2:5">
      <c r="B92" s="9" t="s">
        <v>142</v>
      </c>
      <c r="D92" s="2">
        <f>D88+D90</f>
        <v>10720</v>
      </c>
      <c r="E92" s="10"/>
    </row>
    <row r="93" spans="2:5">
      <c r="B93" s="7"/>
      <c r="C93" s="11"/>
      <c r="D93" s="11"/>
      <c r="E9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367C-022F-0A45-83E1-B4620F3133B0}">
  <dimension ref="B3:G84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7" width="10.83203125" style="75"/>
  </cols>
  <sheetData>
    <row r="3" spans="2:7" ht="19">
      <c r="B3" s="12"/>
    </row>
    <row r="4" spans="2:7">
      <c r="B4" s="50"/>
      <c r="C4" s="50"/>
      <c r="D4" s="50"/>
      <c r="E4" s="50"/>
      <c r="F4" s="50"/>
      <c r="G4" s="76"/>
    </row>
    <row r="5" spans="2:7" s="46" customFormat="1" ht="19">
      <c r="B5" s="80" t="s">
        <v>107</v>
      </c>
      <c r="C5" s="70" t="s">
        <v>147</v>
      </c>
      <c r="D5" s="70" t="s">
        <v>148</v>
      </c>
      <c r="E5" s="70" t="s">
        <v>149</v>
      </c>
      <c r="F5" s="70" t="s">
        <v>150</v>
      </c>
      <c r="G5" s="73" t="s">
        <v>151</v>
      </c>
    </row>
    <row r="6" spans="2:7">
      <c r="B6" s="53"/>
      <c r="C6" s="53"/>
      <c r="D6" s="53"/>
      <c r="E6" s="53"/>
      <c r="F6" s="53"/>
      <c r="G6" s="77"/>
    </row>
    <row r="7" spans="2:7">
      <c r="B7" s="50"/>
      <c r="C7" s="50"/>
      <c r="D7" s="50"/>
      <c r="E7" s="50"/>
      <c r="F7" s="50"/>
      <c r="G7" s="76"/>
    </row>
    <row r="8" spans="2:7">
      <c r="B8" s="71" t="s">
        <v>65</v>
      </c>
      <c r="C8" s="71">
        <f>'September-1'!D4</f>
        <v>6000</v>
      </c>
      <c r="D8" s="71">
        <f>'October-1'!D4</f>
        <v>11000</v>
      </c>
      <c r="E8" s="71">
        <f>'November-1'!D4</f>
        <v>27000</v>
      </c>
      <c r="F8" s="71">
        <f>'December-1'!D4</f>
        <v>36000</v>
      </c>
      <c r="G8" s="78">
        <f>SUM(C8:F8)</f>
        <v>80000</v>
      </c>
    </row>
    <row r="9" spans="2:7">
      <c r="B9" s="71"/>
      <c r="C9" s="71"/>
      <c r="D9" s="71"/>
      <c r="E9" s="71"/>
      <c r="F9" s="71"/>
      <c r="G9" s="73"/>
    </row>
    <row r="10" spans="2:7">
      <c r="B10" s="71" t="s">
        <v>187</v>
      </c>
      <c r="C10" s="72">
        <f>'September-1'!D6</f>
        <v>-4000</v>
      </c>
      <c r="D10" s="72">
        <f>'October-1'!D6</f>
        <v>-8000</v>
      </c>
      <c r="E10" s="72">
        <f>'November-1'!D6</f>
        <v>-20000</v>
      </c>
      <c r="F10" s="72">
        <f>'December-1'!D6</f>
        <v>-26000</v>
      </c>
      <c r="G10" s="79">
        <f>SUM(C10:F10)</f>
        <v>-58000</v>
      </c>
    </row>
    <row r="11" spans="2:7">
      <c r="B11" s="71"/>
      <c r="C11" s="71"/>
      <c r="D11" s="71"/>
      <c r="E11" s="71"/>
      <c r="F11" s="71"/>
      <c r="G11" s="73"/>
    </row>
    <row r="12" spans="2:7">
      <c r="B12" s="71" t="s">
        <v>108</v>
      </c>
      <c r="C12" s="71">
        <f>C8+C10</f>
        <v>2000</v>
      </c>
      <c r="D12" s="71">
        <f t="shared" ref="D12:G12" si="0">D8+D10</f>
        <v>3000</v>
      </c>
      <c r="E12" s="71">
        <f t="shared" si="0"/>
        <v>7000</v>
      </c>
      <c r="F12" s="71">
        <f t="shared" si="0"/>
        <v>10000</v>
      </c>
      <c r="G12" s="78">
        <f t="shared" si="0"/>
        <v>22000</v>
      </c>
    </row>
    <row r="13" spans="2:7">
      <c r="B13" s="71"/>
      <c r="C13" s="71"/>
      <c r="D13" s="71"/>
      <c r="E13" s="71"/>
      <c r="F13" s="71"/>
      <c r="G13" s="73"/>
    </row>
    <row r="14" spans="2:7">
      <c r="B14" s="71" t="s">
        <v>99</v>
      </c>
      <c r="C14" s="71">
        <f>'September-1'!D10</f>
        <v>-1000</v>
      </c>
      <c r="D14" s="71">
        <f>'October-1'!D10</f>
        <v>-1000</v>
      </c>
      <c r="E14" s="71">
        <f>'November-1'!D10</f>
        <v>-2000</v>
      </c>
      <c r="F14" s="71">
        <f>'December-1'!D10</f>
        <v>-2000</v>
      </c>
      <c r="G14" s="78">
        <f>SUM(C14:F14)</f>
        <v>-6000</v>
      </c>
    </row>
    <row r="15" spans="2:7">
      <c r="B15" s="71" t="s">
        <v>100</v>
      </c>
      <c r="C15" s="72"/>
      <c r="D15" s="72"/>
      <c r="E15" s="72">
        <f>'November-1'!D11</f>
        <v>-1300</v>
      </c>
      <c r="F15" s="72">
        <f>'December-1'!D11</f>
        <v>-1300</v>
      </c>
      <c r="G15" s="79">
        <f>SUM(C15:F15)</f>
        <v>-2600</v>
      </c>
    </row>
    <row r="16" spans="2:7">
      <c r="B16" s="71"/>
      <c r="C16" s="71"/>
      <c r="D16" s="71"/>
      <c r="E16" s="71"/>
      <c r="F16" s="71"/>
      <c r="G16" s="73"/>
    </row>
    <row r="17" spans="2:7">
      <c r="B17" s="71" t="s">
        <v>144</v>
      </c>
      <c r="C17" s="71">
        <f>C12+C14+C15</f>
        <v>1000</v>
      </c>
      <c r="D17" s="71">
        <f t="shared" ref="D17:G17" si="1">D12+D14+D15</f>
        <v>2000</v>
      </c>
      <c r="E17" s="71">
        <f t="shared" si="1"/>
        <v>3700</v>
      </c>
      <c r="F17" s="71">
        <f t="shared" si="1"/>
        <v>6700</v>
      </c>
      <c r="G17" s="78">
        <f t="shared" si="1"/>
        <v>13400</v>
      </c>
    </row>
    <row r="18" spans="2:7">
      <c r="B18" s="71"/>
      <c r="C18" s="71"/>
      <c r="D18" s="71"/>
      <c r="E18" s="71"/>
      <c r="F18" s="71"/>
      <c r="G18" s="73"/>
    </row>
    <row r="19" spans="2:7">
      <c r="B19" s="71" t="s">
        <v>141</v>
      </c>
      <c r="C19" s="72">
        <f>-C17*TIS</f>
        <v>-200</v>
      </c>
      <c r="D19" s="72">
        <f>-D17*TIS</f>
        <v>-400</v>
      </c>
      <c r="E19" s="72">
        <f>-E17*TIS</f>
        <v>-740</v>
      </c>
      <c r="F19" s="72">
        <f>-F17*TIS</f>
        <v>-1340</v>
      </c>
      <c r="G19" s="79">
        <f>-G17*TIS</f>
        <v>-2680</v>
      </c>
    </row>
    <row r="20" spans="2:7">
      <c r="B20" s="71"/>
      <c r="C20" s="71"/>
      <c r="D20" s="71"/>
      <c r="E20" s="71"/>
      <c r="F20" s="71"/>
      <c r="G20" s="73"/>
    </row>
    <row r="21" spans="2:7">
      <c r="B21" s="71" t="s">
        <v>142</v>
      </c>
      <c r="C21" s="71">
        <f>C17+C19</f>
        <v>800</v>
      </c>
      <c r="D21" s="71">
        <f t="shared" ref="D21:G21" si="2">D17+D19</f>
        <v>1600</v>
      </c>
      <c r="E21" s="71">
        <f t="shared" si="2"/>
        <v>2960</v>
      </c>
      <c r="F21" s="71">
        <f t="shared" si="2"/>
        <v>5360</v>
      </c>
      <c r="G21" s="78">
        <f t="shared" si="2"/>
        <v>10720</v>
      </c>
    </row>
    <row r="22" spans="2:7">
      <c r="B22" s="53"/>
      <c r="C22" s="53"/>
      <c r="D22" s="53"/>
      <c r="E22" s="53"/>
      <c r="F22" s="53"/>
      <c r="G22" s="77"/>
    </row>
    <row r="38" spans="2:7">
      <c r="B38" s="50"/>
      <c r="C38" s="50"/>
      <c r="D38" s="50"/>
      <c r="E38" s="50"/>
      <c r="F38" s="50"/>
      <c r="G38" s="76"/>
    </row>
    <row r="39" spans="2:7" ht="19">
      <c r="B39" s="80" t="s">
        <v>21</v>
      </c>
      <c r="C39" s="70" t="s">
        <v>147</v>
      </c>
      <c r="D39" s="70" t="s">
        <v>148</v>
      </c>
      <c r="E39" s="70" t="s">
        <v>149</v>
      </c>
      <c r="F39" s="70" t="s">
        <v>150</v>
      </c>
      <c r="G39" s="73" t="s">
        <v>151</v>
      </c>
    </row>
    <row r="40" spans="2:7">
      <c r="B40" s="53"/>
      <c r="C40" s="53"/>
      <c r="D40" s="53"/>
      <c r="E40" s="53"/>
      <c r="F40" s="53"/>
      <c r="G40" s="77"/>
    </row>
    <row r="41" spans="2:7">
      <c r="B41" s="50"/>
      <c r="C41" s="50"/>
      <c r="D41" s="50"/>
      <c r="E41" s="50"/>
      <c r="F41" s="50"/>
      <c r="G41" s="76"/>
    </row>
    <row r="42" spans="2:7">
      <c r="B42" s="71" t="s">
        <v>65</v>
      </c>
      <c r="C42" s="81">
        <f>C8/C$8</f>
        <v>1</v>
      </c>
      <c r="D42" s="81">
        <f>D8/D$8</f>
        <v>1</v>
      </c>
      <c r="E42" s="81">
        <f>E8/E$8</f>
        <v>1</v>
      </c>
      <c r="F42" s="81">
        <f>F8/F$8</f>
        <v>1</v>
      </c>
      <c r="G42" s="84">
        <f>G8/G$8</f>
        <v>1</v>
      </c>
    </row>
    <row r="43" spans="2:7">
      <c r="B43" s="71"/>
      <c r="C43" s="71"/>
      <c r="D43" s="71"/>
      <c r="E43" s="71"/>
      <c r="F43" s="71"/>
      <c r="G43" s="78"/>
    </row>
    <row r="44" spans="2:7">
      <c r="B44" s="71" t="s">
        <v>187</v>
      </c>
      <c r="C44" s="82">
        <f>C10/C$8</f>
        <v>-0.66666666666666663</v>
      </c>
      <c r="D44" s="82">
        <f>D10/D$8</f>
        <v>-0.72727272727272729</v>
      </c>
      <c r="E44" s="82">
        <f>E10/E$8</f>
        <v>-0.7407407407407407</v>
      </c>
      <c r="F44" s="82">
        <f>F10/F$8</f>
        <v>-0.72222222222222221</v>
      </c>
      <c r="G44" s="85">
        <f>G10/G$8</f>
        <v>-0.72499999999999998</v>
      </c>
    </row>
    <row r="45" spans="2:7">
      <c r="B45" s="71"/>
      <c r="C45" s="71"/>
      <c r="D45" s="71"/>
      <c r="E45" s="71"/>
      <c r="F45" s="71"/>
      <c r="G45" s="78"/>
    </row>
    <row r="46" spans="2:7">
      <c r="B46" s="71" t="s">
        <v>108</v>
      </c>
      <c r="C46" s="81">
        <f>C12/C$8</f>
        <v>0.33333333333333331</v>
      </c>
      <c r="D46" s="81">
        <f>D12/D$8</f>
        <v>0.27272727272727271</v>
      </c>
      <c r="E46" s="81">
        <f>E12/E$8</f>
        <v>0.25925925925925924</v>
      </c>
      <c r="F46" s="81">
        <f>F12/F$8</f>
        <v>0.27777777777777779</v>
      </c>
      <c r="G46" s="84">
        <f>G12/G$8</f>
        <v>0.27500000000000002</v>
      </c>
    </row>
    <row r="47" spans="2:7">
      <c r="B47" s="71"/>
      <c r="C47" s="71"/>
      <c r="D47" s="71"/>
      <c r="E47" s="71"/>
      <c r="F47" s="71"/>
      <c r="G47" s="78"/>
    </row>
    <row r="48" spans="2:7">
      <c r="B48" s="71" t="s">
        <v>99</v>
      </c>
      <c r="C48" s="81">
        <f>C14/C$8</f>
        <v>-0.16666666666666666</v>
      </c>
      <c r="D48" s="81">
        <f>D14/D$8</f>
        <v>-9.0909090909090912E-2</v>
      </c>
      <c r="E48" s="81">
        <f>E14/E$8</f>
        <v>-7.407407407407407E-2</v>
      </c>
      <c r="F48" s="81">
        <f>F14/F$8</f>
        <v>-5.5555555555555552E-2</v>
      </c>
      <c r="G48" s="84">
        <f>G14/G$8</f>
        <v>-7.4999999999999997E-2</v>
      </c>
    </row>
    <row r="49" spans="2:7">
      <c r="B49" s="71" t="s">
        <v>100</v>
      </c>
      <c r="C49" s="72"/>
      <c r="D49" s="72"/>
      <c r="E49" s="82">
        <f>E15/E$8</f>
        <v>-4.8148148148148148E-2</v>
      </c>
      <c r="F49" s="82">
        <f>F15/F$8</f>
        <v>-3.6111111111111108E-2</v>
      </c>
      <c r="G49" s="85">
        <f>G15/G$8</f>
        <v>-3.2500000000000001E-2</v>
      </c>
    </row>
    <row r="50" spans="2:7">
      <c r="B50" s="71"/>
      <c r="C50" s="71"/>
      <c r="D50" s="71"/>
      <c r="E50" s="71"/>
      <c r="F50" s="71"/>
      <c r="G50" s="78"/>
    </row>
    <row r="51" spans="2:7">
      <c r="B51" s="71" t="s">
        <v>144</v>
      </c>
      <c r="C51" s="81">
        <f>C17/C$8</f>
        <v>0.16666666666666666</v>
      </c>
      <c r="D51" s="81">
        <f>D17/D$8</f>
        <v>0.18181818181818182</v>
      </c>
      <c r="E51" s="81">
        <f>E17/E$8</f>
        <v>0.13703703703703704</v>
      </c>
      <c r="F51" s="81">
        <f>F17/F$8</f>
        <v>0.18611111111111112</v>
      </c>
      <c r="G51" s="84">
        <f>G17/G$8</f>
        <v>0.16750000000000001</v>
      </c>
    </row>
    <row r="52" spans="2:7">
      <c r="B52" s="71"/>
      <c r="C52" s="71"/>
      <c r="D52" s="71"/>
      <c r="E52" s="71"/>
      <c r="F52" s="71"/>
      <c r="G52" s="78"/>
    </row>
    <row r="53" spans="2:7">
      <c r="B53" s="71" t="s">
        <v>141</v>
      </c>
      <c r="C53" s="82">
        <f>C19/C$8</f>
        <v>-3.3333333333333333E-2</v>
      </c>
      <c r="D53" s="82">
        <f>D19/D$8</f>
        <v>-3.6363636363636362E-2</v>
      </c>
      <c r="E53" s="82">
        <f>E19/E$8</f>
        <v>-2.7407407407407408E-2</v>
      </c>
      <c r="F53" s="82">
        <f>F19/F$8</f>
        <v>-3.7222222222222219E-2</v>
      </c>
      <c r="G53" s="85">
        <f>G19/G$8</f>
        <v>-3.3500000000000002E-2</v>
      </c>
    </row>
    <row r="54" spans="2:7">
      <c r="B54" s="71"/>
      <c r="C54" s="71"/>
      <c r="D54" s="71"/>
      <c r="E54" s="71"/>
      <c r="F54" s="71"/>
      <c r="G54" s="78"/>
    </row>
    <row r="55" spans="2:7">
      <c r="B55" s="71" t="s">
        <v>142</v>
      </c>
      <c r="C55" s="81">
        <f>C21/C$8</f>
        <v>0.13333333333333333</v>
      </c>
      <c r="D55" s="81">
        <f>D21/D$8</f>
        <v>0.14545454545454545</v>
      </c>
      <c r="E55" s="81">
        <f>E21/E$8</f>
        <v>0.10962962962962963</v>
      </c>
      <c r="F55" s="81">
        <f>F21/F$8</f>
        <v>0.14888888888888888</v>
      </c>
      <c r="G55" s="84">
        <f>G21/G$8</f>
        <v>0.13400000000000001</v>
      </c>
    </row>
    <row r="56" spans="2:7">
      <c r="B56" s="53"/>
      <c r="C56" s="53"/>
      <c r="D56" s="53"/>
      <c r="E56" s="53"/>
      <c r="F56" s="53"/>
      <c r="G56" s="77"/>
    </row>
    <row r="72" spans="2:6">
      <c r="B72" s="86"/>
      <c r="C72" s="86"/>
      <c r="D72" s="86"/>
      <c r="E72" s="86"/>
      <c r="F72" s="86"/>
    </row>
    <row r="73" spans="2:6" ht="19">
      <c r="B73" s="80" t="s">
        <v>152</v>
      </c>
      <c r="C73" s="70" t="s">
        <v>147</v>
      </c>
      <c r="D73" s="70" t="s">
        <v>148</v>
      </c>
      <c r="E73" s="70" t="s">
        <v>149</v>
      </c>
      <c r="F73" s="70" t="s">
        <v>150</v>
      </c>
    </row>
    <row r="74" spans="2:6">
      <c r="B74" s="72"/>
      <c r="C74" s="72"/>
      <c r="D74" s="72"/>
      <c r="E74" s="72"/>
      <c r="F74" s="72"/>
    </row>
    <row r="75" spans="2:6">
      <c r="B75" s="86"/>
      <c r="C75" s="86"/>
      <c r="D75" s="86"/>
      <c r="E75" s="86"/>
      <c r="F75" s="86"/>
    </row>
    <row r="76" spans="2:6">
      <c r="B76" s="71" t="s">
        <v>127</v>
      </c>
      <c r="C76" s="71">
        <v>0</v>
      </c>
      <c r="D76" s="71">
        <v>0</v>
      </c>
      <c r="E76" s="71">
        <f>'November-1'!C52</f>
        <v>10000</v>
      </c>
      <c r="F76" s="71">
        <f>'December-1'!C65</f>
        <v>12000</v>
      </c>
    </row>
    <row r="77" spans="2:6">
      <c r="B77" s="71"/>
      <c r="C77" s="71"/>
      <c r="D77" s="71"/>
      <c r="E77" s="71"/>
      <c r="F77" s="71"/>
    </row>
    <row r="78" spans="2:6">
      <c r="B78" s="71" t="s">
        <v>153</v>
      </c>
      <c r="C78" s="71">
        <v>0</v>
      </c>
      <c r="D78" s="71">
        <f>'October-1'!C43</f>
        <v>5000</v>
      </c>
      <c r="E78" s="71">
        <f>'November-1'!C54</f>
        <v>15000</v>
      </c>
      <c r="F78" s="71">
        <f>'December-1'!C67</f>
        <v>15000</v>
      </c>
    </row>
    <row r="79" spans="2:6">
      <c r="B79" s="71"/>
      <c r="C79" s="71"/>
      <c r="D79" s="71"/>
      <c r="E79" s="71"/>
      <c r="F79" s="71"/>
    </row>
    <row r="80" spans="2:6">
      <c r="B80" s="71" t="s">
        <v>154</v>
      </c>
      <c r="C80" s="71">
        <v>0</v>
      </c>
      <c r="D80" s="71">
        <f>-'October-1'!E45</f>
        <v>-4000</v>
      </c>
      <c r="E80" s="71">
        <f>-'November-1'!E56</f>
        <v>-15000</v>
      </c>
      <c r="F80" s="71">
        <f>-'December-1'!E70</f>
        <v>-14000</v>
      </c>
    </row>
    <row r="81" spans="2:6">
      <c r="B81" s="71"/>
      <c r="C81" s="72"/>
      <c r="D81" s="72"/>
      <c r="E81" s="72"/>
      <c r="F81" s="72"/>
    </row>
    <row r="82" spans="2:6">
      <c r="B82" s="71"/>
      <c r="C82" s="71"/>
      <c r="D82" s="71"/>
      <c r="E82" s="71"/>
      <c r="F82" s="71"/>
    </row>
    <row r="83" spans="2:6">
      <c r="B83" s="74" t="s">
        <v>155</v>
      </c>
      <c r="C83" s="74">
        <f>C76+C78+C80</f>
        <v>0</v>
      </c>
      <c r="D83" s="74">
        <f t="shared" ref="D83:F83" si="3">D76+D78+D80</f>
        <v>1000</v>
      </c>
      <c r="E83" s="74">
        <f t="shared" si="3"/>
        <v>10000</v>
      </c>
      <c r="F83" s="74">
        <f t="shared" si="3"/>
        <v>13000</v>
      </c>
    </row>
    <row r="84" spans="2:6">
      <c r="B84" s="72"/>
      <c r="C84" s="72"/>
      <c r="D84" s="72"/>
      <c r="E84" s="72"/>
      <c r="F84" s="7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5D2-3DE7-6446-90F4-336AFEFDCC5E}">
  <dimension ref="B2:M135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5" style="1" customWidth="1"/>
    <col min="3" max="3" width="16.5" style="1" customWidth="1"/>
    <col min="4" max="4" width="24.33203125" style="1" customWidth="1"/>
    <col min="5" max="5" width="6.83203125" style="1" customWidth="1"/>
    <col min="6" max="6" width="10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64</v>
      </c>
    </row>
    <row r="3" spans="2:13">
      <c r="F3" s="29"/>
      <c r="G3" s="15"/>
      <c r="H3" s="24" t="s">
        <v>2</v>
      </c>
      <c r="I3" s="17"/>
      <c r="J3" s="29"/>
      <c r="K3" s="15"/>
      <c r="L3" s="24" t="s">
        <v>3</v>
      </c>
      <c r="M3" s="17"/>
    </row>
    <row r="4" spans="2:13">
      <c r="B4" s="1" t="s">
        <v>65</v>
      </c>
      <c r="D4" s="1">
        <f>F4*H4+J4*L4</f>
        <v>27500</v>
      </c>
      <c r="F4" s="9">
        <v>500</v>
      </c>
      <c r="G4" s="2" t="s">
        <v>70</v>
      </c>
      <c r="H4" s="1">
        <f>PVB2C</f>
        <v>30</v>
      </c>
      <c r="I4" s="10" t="s">
        <v>71</v>
      </c>
      <c r="J4" s="9">
        <v>500</v>
      </c>
      <c r="K4" s="2" t="s">
        <v>70</v>
      </c>
      <c r="L4" s="1">
        <f>PVB2B</f>
        <v>25</v>
      </c>
      <c r="M4" s="10" t="s">
        <v>71</v>
      </c>
    </row>
    <row r="5" spans="2:13">
      <c r="F5" s="9"/>
      <c r="G5" s="2"/>
      <c r="I5" s="10"/>
      <c r="J5" s="9"/>
      <c r="K5" s="2"/>
      <c r="M5" s="10"/>
    </row>
    <row r="6" spans="2:13">
      <c r="B6" s="1" t="s">
        <v>66</v>
      </c>
      <c r="D6" s="33">
        <f>-(F6*H6+J6*L6)</f>
        <v>-20000</v>
      </c>
      <c r="F6" s="326">
        <f>F4</f>
        <v>500</v>
      </c>
      <c r="G6" s="25" t="s">
        <v>70</v>
      </c>
      <c r="H6" s="33">
        <f>PAP</f>
        <v>20</v>
      </c>
      <c r="I6" s="8" t="s">
        <v>71</v>
      </c>
      <c r="J6" s="326">
        <f>J4</f>
        <v>500</v>
      </c>
      <c r="K6" s="25" t="s">
        <v>70</v>
      </c>
      <c r="L6" s="33">
        <f>PAP</f>
        <v>20</v>
      </c>
      <c r="M6" s="8" t="s">
        <v>71</v>
      </c>
    </row>
    <row r="8" spans="2:13">
      <c r="B8" s="1" t="s">
        <v>67</v>
      </c>
      <c r="D8" s="1">
        <f>D4+D6</f>
        <v>7500</v>
      </c>
    </row>
    <row r="10" spans="2:13">
      <c r="B10" s="1" t="s">
        <v>99</v>
      </c>
      <c r="D10" s="1">
        <f>-MAN*H10</f>
        <v>-2000</v>
      </c>
      <c r="F10" s="44" t="s">
        <v>41</v>
      </c>
      <c r="G10" s="17"/>
      <c r="H10" s="298">
        <v>1</v>
      </c>
      <c r="L10" s="1" t="s">
        <v>1</v>
      </c>
    </row>
    <row r="11" spans="2:13">
      <c r="B11" s="1" t="s">
        <v>100</v>
      </c>
      <c r="D11" s="11">
        <f>-MKT*H11</f>
        <v>-1300</v>
      </c>
      <c r="F11" s="44" t="s">
        <v>65</v>
      </c>
      <c r="G11" s="17"/>
      <c r="H11" s="298">
        <v>1</v>
      </c>
    </row>
    <row r="13" spans="2:13">
      <c r="B13" s="1" t="s">
        <v>160</v>
      </c>
      <c r="D13" s="1">
        <f>D8+D11+D10</f>
        <v>4200</v>
      </c>
      <c r="F13" s="1"/>
    </row>
    <row r="14" spans="2:13">
      <c r="B14" s="1" t="s">
        <v>161</v>
      </c>
      <c r="D14" s="325">
        <f>-M14</f>
        <v>-4000</v>
      </c>
      <c r="F14" s="44" t="s">
        <v>156</v>
      </c>
      <c r="G14" s="15"/>
      <c r="H14" s="15"/>
      <c r="I14" s="15">
        <v>200</v>
      </c>
      <c r="J14" s="15" t="s">
        <v>157</v>
      </c>
      <c r="K14" s="15"/>
      <c r="L14" s="15"/>
      <c r="M14" s="327">
        <f>I14*H6</f>
        <v>4000</v>
      </c>
    </row>
    <row r="15" spans="2:13">
      <c r="F15" s="1"/>
    </row>
    <row r="16" spans="2:13">
      <c r="B16" s="1" t="s">
        <v>162</v>
      </c>
      <c r="D16" s="1">
        <f>D13+D14</f>
        <v>200</v>
      </c>
    </row>
    <row r="17" spans="2:12">
      <c r="F17" s="14"/>
      <c r="G17" s="15"/>
      <c r="H17" s="15"/>
      <c r="I17" s="24" t="s">
        <v>103</v>
      </c>
      <c r="J17" s="15"/>
      <c r="K17" s="15"/>
      <c r="L17" s="17"/>
    </row>
    <row r="18" spans="2:12">
      <c r="B18" s="1" t="s">
        <v>163</v>
      </c>
      <c r="D18" s="11">
        <f>-D16*C48</f>
        <v>-40</v>
      </c>
      <c r="F18" s="5" t="s">
        <v>94</v>
      </c>
      <c r="H18" s="1">
        <f>+'December-1'!L15</f>
        <v>600</v>
      </c>
      <c r="J18" s="1" t="s">
        <v>102</v>
      </c>
      <c r="L18" s="10">
        <f>F6+J6+I14</f>
        <v>1200</v>
      </c>
    </row>
    <row r="19" spans="2:12">
      <c r="F19" s="13" t="s">
        <v>97</v>
      </c>
      <c r="G19" s="11"/>
      <c r="H19" s="11">
        <v>800</v>
      </c>
      <c r="I19" s="11"/>
      <c r="J19" s="11" t="s">
        <v>90</v>
      </c>
      <c r="K19" s="11"/>
      <c r="L19" s="8">
        <f>H20-L18</f>
        <v>200</v>
      </c>
    </row>
    <row r="20" spans="2:12">
      <c r="B20" s="1" t="s">
        <v>164</v>
      </c>
      <c r="D20" s="1">
        <f>D16+D18</f>
        <v>160</v>
      </c>
      <c r="F20" s="14" t="s">
        <v>6</v>
      </c>
      <c r="G20" s="15"/>
      <c r="H20" s="15">
        <f>H18+H19</f>
        <v>1400</v>
      </c>
      <c r="I20" s="15"/>
      <c r="J20" s="16" t="s">
        <v>6</v>
      </c>
      <c r="K20" s="15"/>
      <c r="L20" s="17">
        <f>L18+L19</f>
        <v>1400</v>
      </c>
    </row>
    <row r="21" spans="2:12">
      <c r="F21" s="1"/>
    </row>
    <row r="22" spans="2:12">
      <c r="F22" s="14"/>
      <c r="G22" s="15"/>
      <c r="H22" s="15"/>
      <c r="I22" s="24" t="s">
        <v>104</v>
      </c>
      <c r="J22" s="15"/>
      <c r="K22" s="15"/>
      <c r="L22" s="17"/>
    </row>
    <row r="23" spans="2:12" ht="19">
      <c r="B23" s="12" t="s">
        <v>72</v>
      </c>
      <c r="F23" s="5" t="s">
        <v>94</v>
      </c>
      <c r="H23" s="1">
        <f>H18*H6</f>
        <v>12000</v>
      </c>
      <c r="J23" s="1" t="s">
        <v>106</v>
      </c>
      <c r="L23" s="32">
        <f>L18*H6</f>
        <v>24000</v>
      </c>
    </row>
    <row r="24" spans="2:12">
      <c r="F24" s="13" t="s">
        <v>105</v>
      </c>
      <c r="G24" s="11"/>
      <c r="H24" s="34">
        <f>H19*H6</f>
        <v>16000</v>
      </c>
      <c r="I24" s="11"/>
      <c r="J24" s="11" t="s">
        <v>90</v>
      </c>
      <c r="K24" s="11"/>
      <c r="L24" s="8">
        <f>H25-L23</f>
        <v>4000</v>
      </c>
    </row>
    <row r="25" spans="2:12">
      <c r="B25" s="1" t="s">
        <v>73</v>
      </c>
      <c r="D25" s="20">
        <f>L28</f>
        <v>30000</v>
      </c>
      <c r="F25" s="14" t="s">
        <v>6</v>
      </c>
      <c r="G25" s="15"/>
      <c r="H25" s="15">
        <f>H23+H24</f>
        <v>28000</v>
      </c>
      <c r="I25" s="15"/>
      <c r="J25" s="16" t="s">
        <v>6</v>
      </c>
      <c r="K25" s="15"/>
      <c r="L25" s="17">
        <f>L23+L24</f>
        <v>28000</v>
      </c>
    </row>
    <row r="26" spans="2:12">
      <c r="B26" s="1" t="s">
        <v>1</v>
      </c>
    </row>
    <row r="27" spans="2:12">
      <c r="F27" s="14"/>
      <c r="G27" s="15"/>
      <c r="H27" s="15"/>
      <c r="I27" s="24" t="s">
        <v>89</v>
      </c>
      <c r="J27" s="15"/>
      <c r="K27" s="15"/>
      <c r="L27" s="17"/>
    </row>
    <row r="28" spans="2:12">
      <c r="F28" s="5" t="s">
        <v>94</v>
      </c>
      <c r="H28" s="1">
        <f>'December-1'!L27</f>
        <v>15000</v>
      </c>
      <c r="J28" s="1" t="s">
        <v>95</v>
      </c>
      <c r="L28" s="21">
        <f>H28+H29-L29</f>
        <v>30000</v>
      </c>
    </row>
    <row r="29" spans="2:12">
      <c r="B29" s="1" t="s">
        <v>74</v>
      </c>
      <c r="F29" s="13" t="s">
        <v>65</v>
      </c>
      <c r="G29" s="11"/>
      <c r="H29" s="11">
        <f>D4</f>
        <v>27500</v>
      </c>
      <c r="I29" s="11"/>
      <c r="J29" s="11" t="s">
        <v>90</v>
      </c>
      <c r="K29" s="11"/>
      <c r="L29" s="8">
        <f>J4*L4</f>
        <v>12500</v>
      </c>
    </row>
    <row r="30" spans="2:12">
      <c r="C30" s="1" t="s">
        <v>98</v>
      </c>
      <c r="D30" s="22">
        <f>-L33</f>
        <v>-22000</v>
      </c>
      <c r="F30" s="14" t="s">
        <v>6</v>
      </c>
      <c r="G30" s="15"/>
      <c r="H30" s="15">
        <f>H28+H29</f>
        <v>42500</v>
      </c>
      <c r="I30" s="15"/>
      <c r="J30" s="16" t="s">
        <v>6</v>
      </c>
      <c r="K30" s="15"/>
      <c r="L30" s="17">
        <f>L28+L29</f>
        <v>42500</v>
      </c>
    </row>
    <row r="31" spans="2:12">
      <c r="C31" s="1" t="s">
        <v>11</v>
      </c>
      <c r="D31" s="1">
        <f>D10</f>
        <v>-2000</v>
      </c>
    </row>
    <row r="32" spans="2:12">
      <c r="C32" s="1" t="s">
        <v>125</v>
      </c>
      <c r="D32" s="1">
        <f>+D11</f>
        <v>-1300</v>
      </c>
      <c r="F32" s="14"/>
      <c r="G32" s="15"/>
      <c r="H32" s="15"/>
      <c r="I32" s="24" t="s">
        <v>86</v>
      </c>
      <c r="J32" s="15"/>
      <c r="K32" s="15"/>
      <c r="L32" s="17"/>
    </row>
    <row r="33" spans="2:12">
      <c r="C33" s="1" t="s">
        <v>158</v>
      </c>
      <c r="D33" s="1">
        <f>-'December-1'!E71</f>
        <v>-2680</v>
      </c>
      <c r="F33" s="5" t="s">
        <v>94</v>
      </c>
      <c r="H33" s="1">
        <f>'December-1'!L32</f>
        <v>14000</v>
      </c>
      <c r="J33" s="1" t="s">
        <v>96</v>
      </c>
      <c r="L33" s="23">
        <f>H33+H34-L34</f>
        <v>22000</v>
      </c>
    </row>
    <row r="34" spans="2:12">
      <c r="C34" s="1" t="s">
        <v>159</v>
      </c>
      <c r="D34" s="1">
        <f>-'December-1'!E69</f>
        <v>-2000</v>
      </c>
      <c r="F34" s="13" t="s">
        <v>97</v>
      </c>
      <c r="G34" s="11"/>
      <c r="H34" s="34">
        <f>H24</f>
        <v>16000</v>
      </c>
      <c r="I34" s="11"/>
      <c r="J34" s="11" t="s">
        <v>90</v>
      </c>
      <c r="K34" s="11"/>
      <c r="L34" s="8">
        <f>J37*H34</f>
        <v>8000</v>
      </c>
    </row>
    <row r="35" spans="2:12">
      <c r="F35" s="14" t="s">
        <v>6</v>
      </c>
      <c r="G35" s="15"/>
      <c r="H35" s="15">
        <f>H33+H34</f>
        <v>30000</v>
      </c>
      <c r="I35" s="15"/>
      <c r="J35" s="16" t="s">
        <v>6</v>
      </c>
      <c r="K35" s="15"/>
      <c r="L35" s="17">
        <f>L33+L34</f>
        <v>30000</v>
      </c>
    </row>
    <row r="36" spans="2:12">
      <c r="F36" s="1"/>
    </row>
    <row r="37" spans="2:12">
      <c r="B37" s="1" t="s">
        <v>76</v>
      </c>
      <c r="D37" s="1">
        <f>SUM(D30:D34)</f>
        <v>-29980</v>
      </c>
      <c r="I37" s="29" t="s">
        <v>92</v>
      </c>
      <c r="J37" s="40">
        <v>0.5</v>
      </c>
      <c r="K37" s="351" t="s">
        <v>93</v>
      </c>
    </row>
    <row r="38" spans="2:12">
      <c r="F38"/>
      <c r="G38"/>
      <c r="H38"/>
      <c r="I38"/>
      <c r="J38"/>
      <c r="K38"/>
      <c r="L38"/>
    </row>
    <row r="39" spans="2:12">
      <c r="B39" s="26" t="s">
        <v>77</v>
      </c>
      <c r="C39" s="26"/>
      <c r="D39" s="26">
        <f>D25+D37</f>
        <v>20</v>
      </c>
      <c r="F39"/>
      <c r="G39"/>
      <c r="H39"/>
      <c r="I39"/>
      <c r="J39"/>
      <c r="K39"/>
      <c r="L39"/>
    </row>
    <row r="40" spans="2:12">
      <c r="F40"/>
      <c r="G40"/>
      <c r="H40"/>
      <c r="I40"/>
      <c r="J40"/>
      <c r="K40"/>
      <c r="L40"/>
    </row>
    <row r="41" spans="2:12">
      <c r="B41" s="1" t="s">
        <v>78</v>
      </c>
      <c r="D41" s="1">
        <f>'December-1'!C70</f>
        <v>10400</v>
      </c>
      <c r="F41"/>
      <c r="G41"/>
      <c r="H41"/>
      <c r="I41"/>
      <c r="J41"/>
      <c r="K41"/>
      <c r="L41"/>
    </row>
    <row r="42" spans="2:12">
      <c r="F42"/>
      <c r="G42"/>
      <c r="H42"/>
      <c r="I42"/>
      <c r="J42"/>
      <c r="K42"/>
      <c r="L42"/>
    </row>
    <row r="43" spans="2:12">
      <c r="B43" s="1" t="s">
        <v>79</v>
      </c>
      <c r="D43" s="27">
        <f>D39+D41</f>
        <v>10420</v>
      </c>
      <c r="F43"/>
      <c r="G43"/>
      <c r="H43"/>
      <c r="I43"/>
      <c r="J43"/>
      <c r="K43"/>
      <c r="L43"/>
    </row>
    <row r="44" spans="2:12"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 ht="19">
      <c r="B46" s="12" t="s">
        <v>139</v>
      </c>
      <c r="F46"/>
      <c r="G46"/>
      <c r="H46"/>
      <c r="I46"/>
      <c r="J46"/>
      <c r="K46"/>
      <c r="L46"/>
    </row>
    <row r="48" spans="2:12">
      <c r="B48" s="31" t="s">
        <v>165</v>
      </c>
      <c r="C48" s="308">
        <f>TIS</f>
        <v>0.2</v>
      </c>
    </row>
    <row r="50" spans="2:4">
      <c r="B50" s="1" t="s">
        <v>166</v>
      </c>
      <c r="C50" s="1">
        <f>D16</f>
        <v>200</v>
      </c>
    </row>
    <row r="52" spans="2:4">
      <c r="B52" s="1" t="s">
        <v>141</v>
      </c>
      <c r="C52" s="1">
        <f>-C50*C48</f>
        <v>-40</v>
      </c>
      <c r="D52" s="88" t="s">
        <v>168</v>
      </c>
    </row>
    <row r="54" spans="2:4">
      <c r="B54" s="1" t="s">
        <v>167</v>
      </c>
      <c r="C54" s="1">
        <f>C50+C52</f>
        <v>160</v>
      </c>
    </row>
    <row r="56" spans="2:4" ht="19">
      <c r="B56" s="12" t="s">
        <v>129</v>
      </c>
    </row>
    <row r="57" spans="2:4" ht="19">
      <c r="B57" s="12"/>
    </row>
    <row r="58" spans="2:4">
      <c r="B58" s="1" t="s">
        <v>130</v>
      </c>
      <c r="C58" s="309">
        <v>0</v>
      </c>
    </row>
    <row r="60" spans="2:4">
      <c r="B60" s="1" t="s">
        <v>167</v>
      </c>
      <c r="C60" s="1">
        <f>C54</f>
        <v>160</v>
      </c>
    </row>
    <row r="62" spans="2:4">
      <c r="B62" s="1" t="s">
        <v>131</v>
      </c>
      <c r="C62" s="38">
        <f>C54*C58</f>
        <v>0</v>
      </c>
      <c r="D62" s="88" t="s">
        <v>169</v>
      </c>
    </row>
    <row r="64" spans="2:4">
      <c r="B64" s="1" t="s">
        <v>185</v>
      </c>
      <c r="C64" s="42">
        <f>C54-C62</f>
        <v>160</v>
      </c>
    </row>
    <row r="65" spans="2:12" s="2" customFormat="1">
      <c r="B65" s="1"/>
      <c r="C65" s="1"/>
      <c r="D65" s="1"/>
      <c r="E65" s="1"/>
      <c r="G65" s="1"/>
      <c r="H65" s="1"/>
      <c r="I65" s="1"/>
      <c r="J65" s="1"/>
      <c r="K65" s="1"/>
      <c r="L65" s="1"/>
    </row>
    <row r="66" spans="2:12" s="2" customFormat="1" ht="19">
      <c r="B66" s="12" t="s">
        <v>80</v>
      </c>
      <c r="C66" s="1"/>
      <c r="D66" s="12"/>
      <c r="E66" s="1"/>
      <c r="G66" s="1"/>
      <c r="H66" s="1"/>
      <c r="I66" s="1"/>
      <c r="J66" s="1"/>
      <c r="K66" s="1"/>
      <c r="L66" s="1"/>
    </row>
    <row r="67" spans="2:12" s="2" customFormat="1">
      <c r="B67" s="1"/>
      <c r="C67" s="1"/>
      <c r="D67" s="1"/>
      <c r="E67" s="1"/>
      <c r="G67" s="1"/>
      <c r="H67" s="1"/>
      <c r="I67" s="1"/>
      <c r="J67" s="1"/>
      <c r="K67" s="1"/>
      <c r="L67" s="1"/>
    </row>
    <row r="68" spans="2:12" s="2" customFormat="1" ht="11" customHeight="1">
      <c r="B68" s="3"/>
      <c r="C68" s="4"/>
      <c r="D68" s="3"/>
      <c r="E68" s="4"/>
      <c r="G68" s="1"/>
      <c r="H68" s="1"/>
      <c r="I68" s="1"/>
      <c r="J68" s="1"/>
      <c r="K68" s="1"/>
      <c r="L68" s="1"/>
    </row>
    <row r="69" spans="2:12" s="2" customFormat="1" ht="17" customHeight="1">
      <c r="B69" s="5" t="s">
        <v>60</v>
      </c>
      <c r="C69" s="6"/>
      <c r="D69" s="5" t="s">
        <v>84</v>
      </c>
      <c r="E69" s="6"/>
      <c r="G69" s="1"/>
      <c r="H69" s="1"/>
      <c r="I69" s="1"/>
      <c r="J69" s="1"/>
      <c r="K69" s="1"/>
      <c r="L69" s="1"/>
    </row>
    <row r="70" spans="2:12" s="2" customFormat="1" ht="10" customHeight="1">
      <c r="B70" s="7"/>
      <c r="C70" s="8"/>
      <c r="D70" s="7"/>
      <c r="E70" s="8"/>
      <c r="F70" s="30"/>
      <c r="G70" s="1"/>
      <c r="I70" s="31"/>
      <c r="J70" s="1"/>
      <c r="K70" s="1"/>
      <c r="L70" s="1"/>
    </row>
    <row r="71" spans="2:12" s="2" customFormat="1">
      <c r="B71" s="3"/>
      <c r="C71" s="4"/>
      <c r="D71" s="3"/>
      <c r="E71" s="4"/>
      <c r="F71" s="115"/>
      <c r="G71" s="116" t="s">
        <v>90</v>
      </c>
      <c r="H71" s="116"/>
      <c r="I71" s="117"/>
      <c r="J71" s="1"/>
      <c r="K71" s="1"/>
      <c r="L71" s="1"/>
    </row>
    <row r="72" spans="2:12" s="2" customFormat="1">
      <c r="B72" s="9"/>
      <c r="C72" s="10"/>
      <c r="D72" s="9" t="s">
        <v>62</v>
      </c>
      <c r="E72" s="10">
        <f>NA*PAR</f>
        <v>10000</v>
      </c>
      <c r="F72" s="5"/>
      <c r="G72" s="31" t="s">
        <v>170</v>
      </c>
      <c r="I72" s="6" t="s">
        <v>171</v>
      </c>
      <c r="J72" s="1"/>
      <c r="K72" s="1"/>
      <c r="L72" s="1"/>
    </row>
    <row r="73" spans="2:12" s="2" customFormat="1">
      <c r="B73" s="9" t="s">
        <v>127</v>
      </c>
      <c r="C73" s="10">
        <f>L24</f>
        <v>4000</v>
      </c>
      <c r="D73" s="9" t="s">
        <v>85</v>
      </c>
      <c r="E73" s="43">
        <f>'December-1'!E65+C64</f>
        <v>8880</v>
      </c>
      <c r="F73" s="13" t="s">
        <v>23</v>
      </c>
      <c r="G73" s="11">
        <f>'December-1'!E65</f>
        <v>8720</v>
      </c>
      <c r="H73" s="11"/>
      <c r="I73" s="118">
        <f>D20</f>
        <v>160</v>
      </c>
      <c r="J73" s="1"/>
      <c r="K73" s="1"/>
      <c r="L73" s="1"/>
    </row>
    <row r="74" spans="2:12" s="2" customFormat="1">
      <c r="B74" s="9"/>
      <c r="C74" s="10"/>
      <c r="D74" s="9"/>
      <c r="E74" s="10"/>
      <c r="G74" s="1"/>
      <c r="H74" s="1"/>
      <c r="I74" s="1"/>
      <c r="J74" s="1"/>
      <c r="K74" s="1"/>
      <c r="L74" s="1"/>
    </row>
    <row r="75" spans="2:12" s="2" customFormat="1">
      <c r="B75" s="9" t="s">
        <v>128</v>
      </c>
      <c r="C75" s="10">
        <f>L29</f>
        <v>12500</v>
      </c>
      <c r="D75" s="9" t="s">
        <v>82</v>
      </c>
      <c r="E75" s="10">
        <f>E72+E73</f>
        <v>18880</v>
      </c>
      <c r="G75" s="1"/>
      <c r="H75" s="1"/>
      <c r="I75" s="1"/>
      <c r="J75" s="1"/>
      <c r="K75" s="1"/>
      <c r="L75" s="1"/>
    </row>
    <row r="76" spans="2:12" s="2" customFormat="1">
      <c r="B76" s="9"/>
      <c r="C76" s="10"/>
      <c r="D76" s="9"/>
      <c r="E76" s="10"/>
      <c r="G76" s="1"/>
      <c r="H76" s="1"/>
      <c r="I76" s="1"/>
      <c r="J76" s="1"/>
      <c r="K76" s="1"/>
      <c r="L76" s="1"/>
    </row>
    <row r="77" spans="2:12" s="2" customFormat="1">
      <c r="B77" s="9"/>
      <c r="C77" s="10"/>
      <c r="D77" s="9" t="s">
        <v>135</v>
      </c>
      <c r="E77" s="41">
        <f>'December-1'!E69+'January-2'!D34</f>
        <v>0</v>
      </c>
      <c r="G77" s="1"/>
      <c r="H77" s="1"/>
      <c r="I77" s="1"/>
      <c r="J77" s="1"/>
      <c r="K77" s="1"/>
      <c r="L77" s="1"/>
    </row>
    <row r="78" spans="2:12" s="2" customFormat="1">
      <c r="B78" s="9" t="s">
        <v>63</v>
      </c>
      <c r="C78" s="28">
        <f>'January-2'!D43</f>
        <v>10420</v>
      </c>
      <c r="D78" s="9" t="s">
        <v>86</v>
      </c>
      <c r="E78" s="10">
        <f>L34</f>
        <v>8000</v>
      </c>
      <c r="G78" s="1"/>
      <c r="H78" s="1"/>
      <c r="I78" s="1"/>
      <c r="J78" s="1"/>
      <c r="K78" s="1"/>
      <c r="L78" s="1"/>
    </row>
    <row r="79" spans="2:12" s="2" customFormat="1">
      <c r="B79" s="9"/>
      <c r="C79" s="10"/>
      <c r="D79" s="9" t="s">
        <v>145</v>
      </c>
      <c r="E79" s="10">
        <f>'December-1'!E71+'January-2'!D33-'January-2'!C52</f>
        <v>40</v>
      </c>
      <c r="G79" s="1"/>
      <c r="H79" s="1"/>
      <c r="I79" s="1"/>
      <c r="J79" s="1"/>
      <c r="K79" s="1"/>
      <c r="L79" s="1"/>
    </row>
    <row r="80" spans="2:12">
      <c r="B80" s="9"/>
      <c r="C80" s="10"/>
      <c r="D80" s="9"/>
      <c r="E80" s="10"/>
    </row>
    <row r="81" spans="2:5">
      <c r="B81" s="18" t="s">
        <v>88</v>
      </c>
      <c r="C81" s="19">
        <f>C75+C78+C73</f>
        <v>26920</v>
      </c>
      <c r="D81" s="18" t="s">
        <v>87</v>
      </c>
      <c r="E81" s="19">
        <f>E75+E78+E79+E77</f>
        <v>26920</v>
      </c>
    </row>
    <row r="82" spans="2:5">
      <c r="B82" s="7"/>
      <c r="C82" s="8"/>
      <c r="D82" s="7"/>
      <c r="E82" s="8"/>
    </row>
    <row r="85" spans="2:5" ht="19">
      <c r="B85" s="12" t="s">
        <v>172</v>
      </c>
    </row>
    <row r="87" spans="2:5">
      <c r="B87" s="1" t="s">
        <v>173</v>
      </c>
      <c r="D87" s="1">
        <f>'Financial analysis January-2'!G89</f>
        <v>8500</v>
      </c>
    </row>
    <row r="89" spans="2:5">
      <c r="B89" s="1" t="s">
        <v>180</v>
      </c>
      <c r="D89" s="1">
        <f>'Financial analysis January-2'!G89-'Financial analysis January-2'!F89</f>
        <v>-4500</v>
      </c>
    </row>
    <row r="91" spans="2:5">
      <c r="B91" s="1" t="s">
        <v>174</v>
      </c>
      <c r="D91" s="1">
        <f>D16</f>
        <v>200</v>
      </c>
    </row>
    <row r="93" spans="2:5" ht="19">
      <c r="B93" s="87" t="s">
        <v>175</v>
      </c>
      <c r="C93" s="87"/>
      <c r="D93" s="87">
        <f>D91-D89</f>
        <v>4700</v>
      </c>
    </row>
    <row r="95" spans="2:5">
      <c r="B95" s="1" t="s">
        <v>176</v>
      </c>
      <c r="D95" s="1">
        <f>D33</f>
        <v>-2680</v>
      </c>
    </row>
    <row r="97" spans="2:4">
      <c r="B97" s="1" t="s">
        <v>177</v>
      </c>
      <c r="D97" s="1">
        <f>D34</f>
        <v>-2000</v>
      </c>
    </row>
    <row r="99" spans="2:4">
      <c r="B99" s="26" t="s">
        <v>178</v>
      </c>
      <c r="C99" s="26"/>
      <c r="D99" s="26">
        <f>D93+D95+D97</f>
        <v>20</v>
      </c>
    </row>
    <row r="102" spans="2:4" ht="19">
      <c r="B102" s="12" t="s">
        <v>179</v>
      </c>
    </row>
    <row r="104" spans="2:4">
      <c r="B104" s="1" t="s">
        <v>173</v>
      </c>
      <c r="D104" s="1">
        <f>C73+C75-E78</f>
        <v>8500</v>
      </c>
    </row>
    <row r="106" spans="2:4">
      <c r="B106" s="1" t="s">
        <v>180</v>
      </c>
      <c r="D106" s="1">
        <f>D104-'Financial analysis - year 1'!F83</f>
        <v>-4500</v>
      </c>
    </row>
    <row r="108" spans="2:4">
      <c r="B108" s="1" t="s">
        <v>181</v>
      </c>
      <c r="D108" s="1">
        <f>D13</f>
        <v>4200</v>
      </c>
    </row>
    <row r="110" spans="2:4" ht="19">
      <c r="B110" s="87" t="s">
        <v>175</v>
      </c>
      <c r="C110" s="87"/>
      <c r="D110" s="87">
        <f>D108-D106</f>
        <v>8700</v>
      </c>
    </row>
    <row r="112" spans="2:4">
      <c r="B112" s="1" t="s">
        <v>161</v>
      </c>
      <c r="D112" s="1">
        <f>D14</f>
        <v>-4000</v>
      </c>
    </row>
    <row r="114" spans="2:5">
      <c r="B114" s="1" t="s">
        <v>176</v>
      </c>
      <c r="D114" s="1">
        <f>D33</f>
        <v>-2680</v>
      </c>
    </row>
    <row r="116" spans="2:5">
      <c r="B116" s="1" t="s">
        <v>177</v>
      </c>
      <c r="D116" s="1">
        <f>D34</f>
        <v>-2000</v>
      </c>
    </row>
    <row r="118" spans="2:5">
      <c r="B118" s="26" t="s">
        <v>178</v>
      </c>
      <c r="C118" s="26"/>
      <c r="D118" s="26">
        <f>D110+D112+D114+D116</f>
        <v>20</v>
      </c>
    </row>
    <row r="120" spans="2:5">
      <c r="E120" s="1" t="s">
        <v>1</v>
      </c>
    </row>
    <row r="121" spans="2:5" ht="19">
      <c r="B121" s="12" t="s">
        <v>182</v>
      </c>
    </row>
    <row r="123" spans="2:5">
      <c r="B123" s="1" t="s">
        <v>173</v>
      </c>
      <c r="D123" s="1">
        <f>D104</f>
        <v>8500</v>
      </c>
    </row>
    <row r="125" spans="2:5">
      <c r="B125" s="1" t="s">
        <v>183</v>
      </c>
      <c r="D125" s="1">
        <f>D123+M14-'Financial analysis - year 1'!F83</f>
        <v>-500</v>
      </c>
    </row>
    <row r="127" spans="2:5">
      <c r="B127" s="1" t="s">
        <v>181</v>
      </c>
      <c r="D127" s="1">
        <f>D13</f>
        <v>4200</v>
      </c>
    </row>
    <row r="129" spans="2:4" ht="19">
      <c r="B129" s="87" t="s">
        <v>184</v>
      </c>
      <c r="C129" s="87"/>
      <c r="D129" s="87">
        <f>D127-D125</f>
        <v>4700</v>
      </c>
    </row>
    <row r="131" spans="2:4">
      <c r="B131" s="1" t="s">
        <v>176</v>
      </c>
      <c r="D131" s="1">
        <f>D33</f>
        <v>-2680</v>
      </c>
    </row>
    <row r="133" spans="2:4">
      <c r="B133" s="1" t="s">
        <v>177</v>
      </c>
      <c r="D133" s="1">
        <f>D34</f>
        <v>-2000</v>
      </c>
    </row>
    <row r="135" spans="2:4">
      <c r="B135" s="26" t="s">
        <v>178</v>
      </c>
      <c r="C135" s="26"/>
      <c r="D135" s="26">
        <f>D129+D131+D133</f>
        <v>20</v>
      </c>
    </row>
  </sheetData>
  <pageMargins left="0.7" right="0.7" top="0.75" bottom="0.75" header="0.3" footer="0.3"/>
  <ignoredErrors>
    <ignoredError sqref="D9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59D6-4CCA-F448-90C4-1FEF3F8DDD11}">
  <dimension ref="B3:G9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7" width="10.83203125" style="89"/>
  </cols>
  <sheetData>
    <row r="3" spans="2:7" ht="19">
      <c r="B3" s="12"/>
    </row>
    <row r="4" spans="2:7">
      <c r="B4" s="50"/>
      <c r="C4" s="102"/>
      <c r="D4" s="102"/>
      <c r="E4" s="102"/>
      <c r="F4" s="102"/>
      <c r="G4" s="90"/>
    </row>
    <row r="5" spans="2:7" s="46" customFormat="1" ht="19">
      <c r="B5" s="80" t="s">
        <v>107</v>
      </c>
      <c r="C5" s="103" t="s">
        <v>147</v>
      </c>
      <c r="D5" s="103" t="s">
        <v>148</v>
      </c>
      <c r="E5" s="103" t="s">
        <v>149</v>
      </c>
      <c r="F5" s="103" t="s">
        <v>150</v>
      </c>
      <c r="G5" s="70" t="s">
        <v>171</v>
      </c>
    </row>
    <row r="6" spans="2:7">
      <c r="B6" s="53"/>
      <c r="C6" s="104"/>
      <c r="D6" s="104"/>
      <c r="E6" s="104"/>
      <c r="F6" s="104"/>
      <c r="G6" s="92"/>
    </row>
    <row r="7" spans="2:7">
      <c r="B7" s="50"/>
      <c r="C7" s="102"/>
      <c r="D7" s="102"/>
      <c r="E7" s="102"/>
      <c r="F7" s="102"/>
      <c r="G7" s="90"/>
    </row>
    <row r="8" spans="2:7">
      <c r="B8" s="71" t="s">
        <v>65</v>
      </c>
      <c r="C8" s="100">
        <f>'September-1'!D4</f>
        <v>6000</v>
      </c>
      <c r="D8" s="100">
        <f>'October-1'!D4</f>
        <v>11000</v>
      </c>
      <c r="E8" s="100">
        <f>'November-1'!D4</f>
        <v>27000</v>
      </c>
      <c r="F8" s="100">
        <f>'December-1'!D4</f>
        <v>36000</v>
      </c>
      <c r="G8" s="93">
        <f>'January-2'!D4</f>
        <v>27500</v>
      </c>
    </row>
    <row r="9" spans="2:7">
      <c r="B9" s="71"/>
      <c r="C9" s="100"/>
      <c r="D9" s="100"/>
      <c r="E9" s="100"/>
      <c r="F9" s="100"/>
      <c r="G9" s="91"/>
    </row>
    <row r="10" spans="2:7">
      <c r="B10" s="71" t="s">
        <v>187</v>
      </c>
      <c r="C10" s="99">
        <f>'September-1'!D6</f>
        <v>-4000</v>
      </c>
      <c r="D10" s="99">
        <f>'October-1'!D6</f>
        <v>-8000</v>
      </c>
      <c r="E10" s="99">
        <f>'November-1'!D6</f>
        <v>-20000</v>
      </c>
      <c r="F10" s="99">
        <f>'December-1'!D6</f>
        <v>-26000</v>
      </c>
      <c r="G10" s="94">
        <f>'January-2'!D6</f>
        <v>-20000</v>
      </c>
    </row>
    <row r="11" spans="2:7">
      <c r="B11" s="71"/>
      <c r="C11" s="100"/>
      <c r="D11" s="100"/>
      <c r="E11" s="100"/>
      <c r="F11" s="100"/>
      <c r="G11" s="91"/>
    </row>
    <row r="12" spans="2:7">
      <c r="B12" s="71" t="s">
        <v>108</v>
      </c>
      <c r="C12" s="100">
        <f>C8+C10</f>
        <v>2000</v>
      </c>
      <c r="D12" s="100">
        <f t="shared" ref="D12:G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</row>
    <row r="13" spans="2:7">
      <c r="B13" s="71"/>
      <c r="C13" s="100"/>
      <c r="D13" s="100"/>
      <c r="E13" s="100"/>
      <c r="F13" s="100"/>
      <c r="G13" s="91"/>
    </row>
    <row r="14" spans="2:7">
      <c r="B14" s="71" t="s">
        <v>99</v>
      </c>
      <c r="C14" s="100">
        <f>'September-1'!D10</f>
        <v>-1000</v>
      </c>
      <c r="D14" s="100">
        <f>'October-1'!D10</f>
        <v>-1000</v>
      </c>
      <c r="E14" s="100">
        <f>'November-1'!D10</f>
        <v>-2000</v>
      </c>
      <c r="F14" s="100">
        <f>'December-1'!D10</f>
        <v>-2000</v>
      </c>
      <c r="G14" s="93">
        <f>'January-2'!D10</f>
        <v>-2000</v>
      </c>
    </row>
    <row r="15" spans="2:7">
      <c r="B15" s="71" t="s">
        <v>100</v>
      </c>
      <c r="C15" s="99"/>
      <c r="D15" s="99"/>
      <c r="E15" s="99">
        <f>'November-1'!D11</f>
        <v>-1300</v>
      </c>
      <c r="F15" s="99">
        <f>'December-1'!D11</f>
        <v>-1300</v>
      </c>
      <c r="G15" s="94">
        <f>'January-2'!D11</f>
        <v>-1300</v>
      </c>
    </row>
    <row r="16" spans="2:7">
      <c r="B16" s="71"/>
      <c r="C16" s="100"/>
      <c r="D16" s="100"/>
      <c r="E16" s="100"/>
      <c r="F16" s="100"/>
      <c r="G16" s="91"/>
    </row>
    <row r="17" spans="2:7">
      <c r="B17" s="71" t="s">
        <v>181</v>
      </c>
      <c r="C17" s="100">
        <f>C12+C14+C15</f>
        <v>1000</v>
      </c>
      <c r="D17" s="100">
        <f t="shared" ref="D17:G17" si="1">D12+D14+D15</f>
        <v>2000</v>
      </c>
      <c r="E17" s="100">
        <f t="shared" si="1"/>
        <v>3700</v>
      </c>
      <c r="F17" s="100">
        <f t="shared" si="1"/>
        <v>6700</v>
      </c>
      <c r="G17" s="93">
        <f t="shared" si="1"/>
        <v>4200</v>
      </c>
    </row>
    <row r="18" spans="2:7">
      <c r="B18" s="71" t="s">
        <v>161</v>
      </c>
      <c r="C18" s="99"/>
      <c r="D18" s="99"/>
      <c r="E18" s="99"/>
      <c r="F18" s="99"/>
      <c r="G18" s="94">
        <f>'January-2'!D14</f>
        <v>-4000</v>
      </c>
    </row>
    <row r="19" spans="2:7">
      <c r="B19" s="71"/>
      <c r="C19" s="100"/>
      <c r="D19" s="100"/>
      <c r="E19" s="100"/>
      <c r="F19" s="100"/>
      <c r="G19" s="93"/>
    </row>
    <row r="20" spans="2:7">
      <c r="B20" s="71" t="s">
        <v>186</v>
      </c>
      <c r="C20" s="100">
        <f>C17+C18</f>
        <v>1000</v>
      </c>
      <c r="D20" s="100">
        <f t="shared" ref="D20:G20" si="2">D17+D18</f>
        <v>2000</v>
      </c>
      <c r="E20" s="100">
        <f t="shared" si="2"/>
        <v>3700</v>
      </c>
      <c r="F20" s="100">
        <f t="shared" si="2"/>
        <v>6700</v>
      </c>
      <c r="G20" s="71">
        <f t="shared" si="2"/>
        <v>200</v>
      </c>
    </row>
    <row r="21" spans="2:7">
      <c r="B21" s="71"/>
      <c r="C21" s="100"/>
      <c r="D21" s="100"/>
      <c r="E21" s="100"/>
      <c r="F21" s="100"/>
      <c r="G21" s="91"/>
    </row>
    <row r="22" spans="2:7">
      <c r="B22" s="71" t="s">
        <v>141</v>
      </c>
      <c r="C22" s="99">
        <f>-C20*TIS</f>
        <v>-200</v>
      </c>
      <c r="D22" s="99">
        <f>-D20*TIS</f>
        <v>-400</v>
      </c>
      <c r="E22" s="99">
        <f>-E20*TIS</f>
        <v>-740</v>
      </c>
      <c r="F22" s="99">
        <f>-F20*TIS</f>
        <v>-1340</v>
      </c>
      <c r="G22" s="72">
        <f>-G20*TIS</f>
        <v>-40</v>
      </c>
    </row>
    <row r="23" spans="2:7">
      <c r="B23" s="71"/>
      <c r="C23" s="100"/>
      <c r="D23" s="100"/>
      <c r="E23" s="100"/>
      <c r="F23" s="100"/>
      <c r="G23" s="91"/>
    </row>
    <row r="24" spans="2:7">
      <c r="B24" s="71" t="s">
        <v>142</v>
      </c>
      <c r="C24" s="100">
        <f>C20+C22</f>
        <v>800</v>
      </c>
      <c r="D24" s="100">
        <f t="shared" ref="D24:G24" si="3">D20+D22</f>
        <v>1600</v>
      </c>
      <c r="E24" s="100">
        <f t="shared" si="3"/>
        <v>2960</v>
      </c>
      <c r="F24" s="100">
        <f t="shared" si="3"/>
        <v>5360</v>
      </c>
      <c r="G24" s="71">
        <f t="shared" si="3"/>
        <v>160</v>
      </c>
    </row>
    <row r="25" spans="2:7">
      <c r="B25" s="53"/>
      <c r="C25" s="104"/>
      <c r="D25" s="104"/>
      <c r="E25" s="104"/>
      <c r="F25" s="104"/>
      <c r="G25" s="92"/>
    </row>
    <row r="41" spans="2:7">
      <c r="B41" s="50"/>
      <c r="C41" s="102"/>
      <c r="D41" s="102"/>
      <c r="E41" s="102"/>
      <c r="F41" s="102"/>
      <c r="G41" s="90"/>
    </row>
    <row r="42" spans="2:7" ht="19">
      <c r="B42" s="80" t="s">
        <v>21</v>
      </c>
      <c r="C42" s="103" t="s">
        <v>147</v>
      </c>
      <c r="D42" s="103" t="s">
        <v>148</v>
      </c>
      <c r="E42" s="103" t="s">
        <v>149</v>
      </c>
      <c r="F42" s="103" t="s">
        <v>150</v>
      </c>
      <c r="G42" s="70" t="s">
        <v>171</v>
      </c>
    </row>
    <row r="43" spans="2:7">
      <c r="B43" s="53"/>
      <c r="C43" s="104"/>
      <c r="D43" s="104"/>
      <c r="E43" s="104"/>
      <c r="F43" s="104"/>
      <c r="G43" s="92"/>
    </row>
    <row r="44" spans="2:7">
      <c r="B44" s="50"/>
      <c r="C44" s="102"/>
      <c r="D44" s="102"/>
      <c r="E44" s="102"/>
      <c r="F44" s="102"/>
      <c r="G44" s="90"/>
    </row>
    <row r="45" spans="2:7">
      <c r="B45" s="71" t="s">
        <v>65</v>
      </c>
      <c r="C45" s="105">
        <f>C8/C$8</f>
        <v>1</v>
      </c>
      <c r="D45" s="105">
        <f>D8/D$8</f>
        <v>1</v>
      </c>
      <c r="E45" s="105">
        <f>E8/E$8</f>
        <v>1</v>
      </c>
      <c r="F45" s="105">
        <f>F8/F$8</f>
        <v>1</v>
      </c>
      <c r="G45" s="95">
        <f>G8/G$8</f>
        <v>1</v>
      </c>
    </row>
    <row r="46" spans="2:7">
      <c r="B46" s="71"/>
      <c r="C46" s="100"/>
      <c r="D46" s="100"/>
      <c r="E46" s="100"/>
      <c r="F46" s="100"/>
      <c r="G46" s="93"/>
    </row>
    <row r="47" spans="2:7">
      <c r="B47" s="71" t="s">
        <v>187</v>
      </c>
      <c r="C47" s="106">
        <f>C10/C$8</f>
        <v>-0.66666666666666663</v>
      </c>
      <c r="D47" s="106">
        <f>D10/D$8</f>
        <v>-0.72727272727272729</v>
      </c>
      <c r="E47" s="106">
        <f>E10/E$8</f>
        <v>-0.7407407407407407</v>
      </c>
      <c r="F47" s="106">
        <f>F10/F$8</f>
        <v>-0.72222222222222221</v>
      </c>
      <c r="G47" s="96">
        <f>G10/G$8</f>
        <v>-0.72727272727272729</v>
      </c>
    </row>
    <row r="48" spans="2:7">
      <c r="B48" s="71"/>
      <c r="C48" s="100"/>
      <c r="D48" s="100"/>
      <c r="E48" s="100"/>
      <c r="F48" s="100"/>
      <c r="G48" s="93"/>
    </row>
    <row r="49" spans="2:7">
      <c r="B49" s="71" t="s">
        <v>108</v>
      </c>
      <c r="C49" s="105">
        <f>C12/C$8</f>
        <v>0.33333333333333331</v>
      </c>
      <c r="D49" s="105">
        <f>D12/D$8</f>
        <v>0.27272727272727271</v>
      </c>
      <c r="E49" s="105">
        <f>E12/E$8</f>
        <v>0.25925925925925924</v>
      </c>
      <c r="F49" s="105">
        <f>F12/F$8</f>
        <v>0.27777777777777779</v>
      </c>
      <c r="G49" s="95">
        <f>G12/G$8</f>
        <v>0.27272727272727271</v>
      </c>
    </row>
    <row r="50" spans="2:7">
      <c r="B50" s="71"/>
      <c r="C50" s="100"/>
      <c r="D50" s="100"/>
      <c r="E50" s="100"/>
      <c r="F50" s="100"/>
      <c r="G50" s="93"/>
    </row>
    <row r="51" spans="2:7">
      <c r="B51" s="71" t="s">
        <v>99</v>
      </c>
      <c r="C51" s="105">
        <f>C14/C$8</f>
        <v>-0.16666666666666666</v>
      </c>
      <c r="D51" s="105">
        <f>D14/D$8</f>
        <v>-9.0909090909090912E-2</v>
      </c>
      <c r="E51" s="105">
        <f>E14/E$8</f>
        <v>-7.407407407407407E-2</v>
      </c>
      <c r="F51" s="105">
        <f>F14/F$8</f>
        <v>-5.5555555555555552E-2</v>
      </c>
      <c r="G51" s="95">
        <f>G14/G$8</f>
        <v>-7.2727272727272724E-2</v>
      </c>
    </row>
    <row r="52" spans="2:7">
      <c r="B52" s="71" t="s">
        <v>100</v>
      </c>
      <c r="C52" s="99"/>
      <c r="D52" s="99"/>
      <c r="E52" s="106">
        <f>E15/E$8</f>
        <v>-4.8148148148148148E-2</v>
      </c>
      <c r="F52" s="106">
        <f>F15/F$8</f>
        <v>-3.6111111111111108E-2</v>
      </c>
      <c r="G52" s="96">
        <f>G15/G$8</f>
        <v>-4.7272727272727272E-2</v>
      </c>
    </row>
    <row r="53" spans="2:7">
      <c r="B53" s="71"/>
      <c r="C53" s="100"/>
      <c r="D53" s="100"/>
      <c r="E53" s="100"/>
      <c r="F53" s="100"/>
      <c r="G53" s="93"/>
    </row>
    <row r="54" spans="2:7">
      <c r="B54" s="71" t="s">
        <v>181</v>
      </c>
      <c r="C54" s="105">
        <f>C17/C$8</f>
        <v>0.16666666666666666</v>
      </c>
      <c r="D54" s="105">
        <f>D17/D$8</f>
        <v>0.18181818181818182</v>
      </c>
      <c r="E54" s="105">
        <f>E17/E$8</f>
        <v>0.13703703703703704</v>
      </c>
      <c r="F54" s="105">
        <f>F17/F$8</f>
        <v>0.18611111111111112</v>
      </c>
      <c r="G54" s="95">
        <f>G17/G$8</f>
        <v>0.15272727272727274</v>
      </c>
    </row>
    <row r="55" spans="2:7">
      <c r="B55" s="71" t="s">
        <v>161</v>
      </c>
      <c r="C55" s="106"/>
      <c r="D55" s="106"/>
      <c r="E55" s="106"/>
      <c r="F55" s="106"/>
      <c r="G55" s="96">
        <f>G18/G$8</f>
        <v>-0.14545454545454545</v>
      </c>
    </row>
    <row r="56" spans="2:7">
      <c r="B56" s="71"/>
      <c r="C56" s="105"/>
      <c r="D56" s="105"/>
      <c r="E56" s="105"/>
      <c r="F56" s="105"/>
      <c r="G56" s="95"/>
    </row>
    <row r="57" spans="2:7">
      <c r="B57" s="71" t="s">
        <v>186</v>
      </c>
      <c r="C57" s="105">
        <f>C54+C55</f>
        <v>0.16666666666666666</v>
      </c>
      <c r="D57" s="105">
        <f t="shared" ref="D57:G57" si="4">D54+D55</f>
        <v>0.18181818181818182</v>
      </c>
      <c r="E57" s="105">
        <f t="shared" si="4"/>
        <v>0.13703703703703704</v>
      </c>
      <c r="F57" s="105">
        <f t="shared" si="4"/>
        <v>0.18611111111111112</v>
      </c>
      <c r="G57" s="107">
        <f t="shared" si="4"/>
        <v>7.2727272727272918E-3</v>
      </c>
    </row>
    <row r="58" spans="2:7">
      <c r="B58" s="71"/>
      <c r="C58" s="100"/>
      <c r="D58" s="100"/>
      <c r="E58" s="100"/>
      <c r="F58" s="100"/>
      <c r="G58" s="93"/>
    </row>
    <row r="59" spans="2:7">
      <c r="B59" s="71" t="s">
        <v>141</v>
      </c>
      <c r="C59" s="106">
        <f>C22/C$8</f>
        <v>-3.3333333333333333E-2</v>
      </c>
      <c r="D59" s="106">
        <f>D22/D$8</f>
        <v>-3.6363636363636362E-2</v>
      </c>
      <c r="E59" s="106">
        <f>E22/E$8</f>
        <v>-2.7407407407407408E-2</v>
      </c>
      <c r="F59" s="106">
        <f>F22/F$8</f>
        <v>-3.7222222222222219E-2</v>
      </c>
      <c r="G59" s="96">
        <f>G22/G$8</f>
        <v>-1.4545454545454545E-3</v>
      </c>
    </row>
    <row r="60" spans="2:7">
      <c r="B60" s="71"/>
      <c r="C60" s="100"/>
      <c r="D60" s="100"/>
      <c r="E60" s="100"/>
      <c r="F60" s="100"/>
      <c r="G60" s="93"/>
    </row>
    <row r="61" spans="2:7">
      <c r="B61" s="71" t="s">
        <v>142</v>
      </c>
      <c r="C61" s="105">
        <f>C24/C$8</f>
        <v>0.13333333333333333</v>
      </c>
      <c r="D61" s="105">
        <f>D24/D$8</f>
        <v>0.14545454545454545</v>
      </c>
      <c r="E61" s="105">
        <f>E24/E$8</f>
        <v>0.10962962962962963</v>
      </c>
      <c r="F61" s="105">
        <f>F24/F$8</f>
        <v>0.14888888888888888</v>
      </c>
      <c r="G61" s="95">
        <f>G24/G$8</f>
        <v>5.8181818181818178E-3</v>
      </c>
    </row>
    <row r="62" spans="2:7">
      <c r="B62" s="53"/>
      <c r="C62" s="104"/>
      <c r="D62" s="104"/>
      <c r="E62" s="104"/>
      <c r="F62" s="104"/>
      <c r="G62" s="92"/>
    </row>
    <row r="78" spans="2:7" s="75" customFormat="1">
      <c r="B78" s="86"/>
      <c r="C78" s="97"/>
      <c r="D78" s="97"/>
      <c r="E78" s="97"/>
      <c r="F78" s="97"/>
      <c r="G78" s="86"/>
    </row>
    <row r="79" spans="2:7" s="75" customFormat="1" ht="19">
      <c r="B79" s="80" t="s">
        <v>152</v>
      </c>
      <c r="C79" s="103" t="s">
        <v>147</v>
      </c>
      <c r="D79" s="103" t="s">
        <v>148</v>
      </c>
      <c r="E79" s="103" t="s">
        <v>149</v>
      </c>
      <c r="F79" s="103" t="s">
        <v>150</v>
      </c>
      <c r="G79" s="70" t="s">
        <v>171</v>
      </c>
    </row>
    <row r="80" spans="2:7" s="75" customFormat="1">
      <c r="B80" s="72"/>
      <c r="C80" s="99"/>
      <c r="D80" s="99"/>
      <c r="E80" s="99"/>
      <c r="F80" s="99"/>
      <c r="G80" s="72"/>
    </row>
    <row r="81" spans="2:7" s="75" customFormat="1">
      <c r="B81" s="86"/>
      <c r="C81" s="97"/>
      <c r="D81" s="97"/>
      <c r="E81" s="97"/>
      <c r="F81" s="97"/>
      <c r="G81" s="86"/>
    </row>
    <row r="82" spans="2:7" s="75" customFormat="1">
      <c r="B82" s="71" t="s">
        <v>127</v>
      </c>
      <c r="C82" s="100">
        <v>0</v>
      </c>
      <c r="D82" s="100">
        <v>0</v>
      </c>
      <c r="E82" s="100">
        <f>'November-1'!C52</f>
        <v>10000</v>
      </c>
      <c r="F82" s="100">
        <f>'December-1'!C65</f>
        <v>12000</v>
      </c>
      <c r="G82" s="71">
        <f>'January-2'!C73</f>
        <v>4000</v>
      </c>
    </row>
    <row r="83" spans="2:7" s="75" customFormat="1">
      <c r="B83" s="71"/>
      <c r="C83" s="100"/>
      <c r="D83" s="100"/>
      <c r="E83" s="100"/>
      <c r="F83" s="100"/>
      <c r="G83" s="71"/>
    </row>
    <row r="84" spans="2:7" s="75" customFormat="1">
      <c r="B84" s="71" t="s">
        <v>153</v>
      </c>
      <c r="C84" s="100">
        <v>0</v>
      </c>
      <c r="D84" s="100">
        <f>'October-1'!C43</f>
        <v>5000</v>
      </c>
      <c r="E84" s="100">
        <f>'November-1'!C54</f>
        <v>15000</v>
      </c>
      <c r="F84" s="100">
        <f>'December-1'!C67</f>
        <v>15000</v>
      </c>
      <c r="G84" s="71">
        <f>'January-2'!C75</f>
        <v>12500</v>
      </c>
    </row>
    <row r="85" spans="2:7" s="75" customFormat="1">
      <c r="B85" s="71"/>
      <c r="C85" s="100"/>
      <c r="D85" s="100"/>
      <c r="E85" s="100"/>
      <c r="F85" s="100"/>
      <c r="G85" s="71"/>
    </row>
    <row r="86" spans="2:7" s="75" customFormat="1">
      <c r="B86" s="71" t="s">
        <v>154</v>
      </c>
      <c r="C86" s="100">
        <v>0</v>
      </c>
      <c r="D86" s="100">
        <f>-'October-1'!E45</f>
        <v>-4000</v>
      </c>
      <c r="E86" s="100">
        <f>-'November-1'!E56</f>
        <v>-15000</v>
      </c>
      <c r="F86" s="100">
        <f>-'December-1'!E70</f>
        <v>-14000</v>
      </c>
      <c r="G86" s="71">
        <f>-'January-2'!E78</f>
        <v>-8000</v>
      </c>
    </row>
    <row r="87" spans="2:7" s="75" customFormat="1">
      <c r="B87" s="71"/>
      <c r="C87" s="99"/>
      <c r="D87" s="99"/>
      <c r="E87" s="99"/>
      <c r="F87" s="99"/>
      <c r="G87" s="72"/>
    </row>
    <row r="88" spans="2:7" s="75" customFormat="1">
      <c r="B88" s="71"/>
      <c r="C88" s="100"/>
      <c r="D88" s="100"/>
      <c r="E88" s="100"/>
      <c r="F88" s="100"/>
      <c r="G88" s="71"/>
    </row>
    <row r="89" spans="2:7" s="75" customFormat="1">
      <c r="B89" s="74" t="s">
        <v>155</v>
      </c>
      <c r="C89" s="101">
        <f>C82+C84+C86</f>
        <v>0</v>
      </c>
      <c r="D89" s="101">
        <f t="shared" ref="D89:F89" si="5">D82+D84+D86</f>
        <v>1000</v>
      </c>
      <c r="E89" s="101">
        <f t="shared" si="5"/>
        <v>10000</v>
      </c>
      <c r="F89" s="101">
        <f t="shared" si="5"/>
        <v>13000</v>
      </c>
      <c r="G89" s="74">
        <f t="shared" ref="G89" si="6">G82+G84+G86</f>
        <v>8500</v>
      </c>
    </row>
    <row r="90" spans="2:7" s="75" customFormat="1">
      <c r="B90" s="72"/>
      <c r="C90" s="99"/>
      <c r="D90" s="99"/>
      <c r="E90" s="99"/>
      <c r="F90" s="99"/>
      <c r="G90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11</vt:i4>
      </vt:variant>
    </vt:vector>
  </HeadingPairs>
  <TitlesOfParts>
    <vt:vector size="46" baseType="lpstr">
      <vt:lpstr>Parameters</vt:lpstr>
      <vt:lpstr>August-1</vt:lpstr>
      <vt:lpstr>September-1</vt:lpstr>
      <vt:lpstr>October-1</vt:lpstr>
      <vt:lpstr>November-1</vt:lpstr>
      <vt:lpstr>December-1</vt:lpstr>
      <vt:lpstr>Financial analysis - year 1</vt:lpstr>
      <vt:lpstr>January-2</vt:lpstr>
      <vt:lpstr>Financial analysis January-2</vt:lpstr>
      <vt:lpstr>February-2</vt:lpstr>
      <vt:lpstr>Financial analysis February-2</vt:lpstr>
      <vt:lpstr>March frame</vt:lpstr>
      <vt:lpstr>March-2</vt:lpstr>
      <vt:lpstr>Financial analysis March-2</vt:lpstr>
      <vt:lpstr>Investment project Q2</vt:lpstr>
      <vt:lpstr>April-2</vt:lpstr>
      <vt:lpstr>Financial analysis April-2</vt:lpstr>
      <vt:lpstr>May-2</vt:lpstr>
      <vt:lpstr>Financial analysis May-2</vt:lpstr>
      <vt:lpstr>June-2</vt:lpstr>
      <vt:lpstr>Financial analysis June-2</vt:lpstr>
      <vt:lpstr>Development plan Q3</vt:lpstr>
      <vt:lpstr>July-2</vt:lpstr>
      <vt:lpstr>Financial analysis July-1</vt:lpstr>
      <vt:lpstr>August-2</vt:lpstr>
      <vt:lpstr>Financial analysis August-2</vt:lpstr>
      <vt:lpstr>September-2</vt:lpstr>
      <vt:lpstr>Financial analysis September-2</vt:lpstr>
      <vt:lpstr>Development plan Q4</vt:lpstr>
      <vt:lpstr>October-2</vt:lpstr>
      <vt:lpstr>Financial analysis October-2</vt:lpstr>
      <vt:lpstr>November-2</vt:lpstr>
      <vt:lpstr>Financial analysis November - 2</vt:lpstr>
      <vt:lpstr>December-2</vt:lpstr>
      <vt:lpstr>Financial analysis December-2</vt:lpstr>
      <vt:lpstr>ADOP</vt:lpstr>
      <vt:lpstr>CMP</vt:lpstr>
      <vt:lpstr>ING</vt:lpstr>
      <vt:lpstr>MAN</vt:lpstr>
      <vt:lpstr>MKT</vt:lpstr>
      <vt:lpstr>NA</vt:lpstr>
      <vt:lpstr>PAP</vt:lpstr>
      <vt:lpstr>PAR</vt:lpstr>
      <vt:lpstr>PVB2B</vt:lpstr>
      <vt:lpstr>PVB2C</vt:lpstr>
      <vt:lpstr>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Dominique Jacquet</cp:lastModifiedBy>
  <dcterms:created xsi:type="dcterms:W3CDTF">2021-11-10T16:43:45Z</dcterms:created>
  <dcterms:modified xsi:type="dcterms:W3CDTF">2023-08-21T21:36:50Z</dcterms:modified>
</cp:coreProperties>
</file>